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 Read Me" sheetId="1" state="visible" r:id="rId1"/>
    <sheet xmlns:r="http://schemas.openxmlformats.org/officeDocument/2006/relationships" name="1. Ledger" sheetId="2" state="visible" r:id="rId2"/>
    <sheet xmlns:r="http://schemas.openxmlformats.org/officeDocument/2006/relationships" name="2. Bid sheet" sheetId="3" state="visible" r:id="rId3"/>
    <sheet xmlns:r="http://schemas.openxmlformats.org/officeDocument/2006/relationships" name="3. Redemption record" sheetId="4" state="visible" r:id="rId4"/>
    <sheet xmlns:r="http://schemas.openxmlformats.org/officeDocument/2006/relationships" name="4. Cash calendar" sheetId="5" state="visible" r:id="rId5"/>
    <sheet xmlns:r="http://schemas.openxmlformats.org/officeDocument/2006/relationships" name="5. Checks" sheetId="6" state="visible" r:id="rId6"/>
  </sheets>
  <definedNames/>
  <calcPr calcId="124519" fullCalcOnLoad="1"/>
</workbook>
</file>

<file path=xl/styles.xml><?xml version="1.0" encoding="utf-8"?>
<styleSheet xmlns="http://schemas.openxmlformats.org/spreadsheetml/2006/main">
  <numFmts count="4">
    <numFmt numFmtId="164" formatCode="&quot;$&quot;#,##0.00;-&quot;$&quot;#,##0.00;&quot;$&quot;0.00"/>
    <numFmt numFmtId="165" formatCode="0.0%"/>
    <numFmt numFmtId="166" formatCode="&quot;$&quot;#,##0;-&quot;$&quot;#,##0;&quot;$&quot;0"/>
    <numFmt numFmtId="167" formatCode="#,##0.0"/>
  </numFmts>
  <fonts count="7">
    <font>
      <name val="Calibri"/>
      <family val="2"/>
      <color theme="1"/>
      <sz val="11"/>
      <scheme val="minor"/>
    </font>
    <font>
      <name val="Calibri"/>
      <b val="1"/>
      <sz val="14"/>
    </font>
    <font>
      <name val="Calibri"/>
      <color rgb="005B6475"/>
    </font>
    <font>
      <name val="Calibri"/>
    </font>
    <font>
      <name val="Calibri"/>
      <color rgb="001F4FB4"/>
    </font>
    <font>
      <name val="Calibri"/>
      <b val="1"/>
      <color rgb="00FFFFFF"/>
    </font>
    <font>
      <name val="Calibri"/>
      <b val="1"/>
    </font>
  </fonts>
  <fills count="6">
    <fill>
      <patternFill/>
    </fill>
    <fill>
      <patternFill patternType="gray125"/>
    </fill>
    <fill>
      <patternFill patternType="solid">
        <fgColor rgb="00FFF2CC"/>
      </patternFill>
    </fill>
    <fill>
      <patternFill patternType="solid">
        <fgColor rgb="00EFF3F8"/>
      </patternFill>
    </fill>
    <fill>
      <patternFill patternType="solid">
        <fgColor rgb="0016213A"/>
      </patternFill>
    </fill>
    <fill>
      <patternFill patternType="solid">
        <fgColor rgb="00DCE3ED"/>
      </patternFill>
    </fill>
  </fills>
  <borders count="5">
    <border>
      <left/>
      <right/>
      <top/>
      <bottom/>
      <diagonal/>
    </border>
    <border>
      <left style="thin">
        <color rgb="009AA3B2"/>
      </left>
      <right style="thin">
        <color rgb="009AA3B2"/>
      </right>
      <top style="thin">
        <color rgb="009AA3B2"/>
      </top>
      <bottom style="thin">
        <color rgb="009AA3B2"/>
      </bottom>
    </border>
    <border>
      <left/>
      <right/>
      <top style="thin">
        <color rgb="009AA3B2"/>
      </top>
      <bottom/>
      <diagonal/>
    </border>
    <border>
      <left/>
      <right style="thin">
        <color rgb="009AA3B2"/>
      </right>
      <top style="thin">
        <color rgb="009AA3B2"/>
      </top>
      <bottom/>
      <diagonal/>
    </border>
    <border>
      <left/>
      <right style="thin">
        <color rgb="009AA3B2"/>
      </right>
      <top style="thin">
        <color rgb="009AA3B2"/>
      </top>
      <bottom style="thin">
        <color rgb="009AA3B2"/>
      </bottom>
      <diagonal/>
    </border>
  </borders>
  <cellStyleXfs count="1">
    <xf numFmtId="0" fontId="0" fillId="0" borderId="0"/>
  </cellStyleXfs>
  <cellXfs count="4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1" fillId="0" borderId="0" pivotButton="0" quotePrefix="0" xfId="0"/>
    <xf numFmtId="0" fontId="2" fillId="0" borderId="0" pivotButton="0" quotePrefix="0" xfId="0"/>
    <xf numFmtId="0" fontId="3" fillId="0" borderId="0" pivotButton="0" quotePrefix="0" xfId="0"/>
    <xf numFmtId="10" fontId="4" fillId="2" borderId="1" pivotButton="0" quotePrefix="0" xfId="0"/>
    <xf numFmtId="0" fontId="3" fillId="0" borderId="1" pivotButton="0" quotePrefix="0" xfId="0"/>
    <xf numFmtId="1" fontId="3" fillId="3" borderId="1" pivotButton="0" quotePrefix="0" xfId="0"/>
    <xf numFmtId="164" fontId="4" fillId="2" borderId="1" pivotButton="0" quotePrefix="0" xfId="0"/>
    <xf numFmtId="164" fontId="3" fillId="3" borderId="1" pivotButton="0" quotePrefix="0" xfId="0"/>
    <xf numFmtId="1" fontId="4" fillId="2" borderId="1" pivotButton="0" quotePrefix="0" xfId="0"/>
    <xf numFmtId="0" fontId="4" fillId="2" borderId="1" pivotButton="0" quotePrefix="0" xfId="0"/>
    <xf numFmtId="0" fontId="5" fillId="4" borderId="1" applyAlignment="1" pivotButton="0" quotePrefix="0" xfId="0">
      <alignment vertical="center" wrapText="1"/>
    </xf>
    <xf numFmtId="0" fontId="5" fillId="4" borderId="1" applyAlignment="1" pivotButton="0" quotePrefix="0" xfId="0">
      <alignment horizontal="center" vertical="center" wrapText="1"/>
    </xf>
    <xf numFmtId="0" fontId="3" fillId="0" borderId="1" applyAlignment="1" pivotButton="0" quotePrefix="0" xfId="0">
      <alignment horizontal="center" vertical="top"/>
    </xf>
    <xf numFmtId="0" fontId="4" fillId="2" borderId="1" applyAlignment="1" pivotButton="0" quotePrefix="0" xfId="0">
      <alignment horizontal="center" vertical="top"/>
    </xf>
    <xf numFmtId="10" fontId="3" fillId="3" borderId="1" pivotButton="0" quotePrefix="0" xfId="0"/>
    <xf numFmtId="165" fontId="3" fillId="3" borderId="1" pivotButton="0" quotePrefix="0" xfId="0"/>
    <xf numFmtId="166" fontId="4" fillId="2" borderId="1" pivotButton="0" quotePrefix="0" xfId="0"/>
    <xf numFmtId="166" fontId="3" fillId="3" borderId="1" pivotButton="0" quotePrefix="0" xfId="0"/>
    <xf numFmtId="165" fontId="4" fillId="2" borderId="1" pivotButton="0" quotePrefix="0" xfId="0"/>
    <xf numFmtId="4" fontId="3" fillId="3" borderId="1" pivotButton="0" quotePrefix="0" xfId="0"/>
    <xf numFmtId="0" fontId="3" fillId="3" borderId="1" applyAlignment="1" pivotButton="0" quotePrefix="0" xfId="0">
      <alignment horizontal="center" vertical="top"/>
    </xf>
    <xf numFmtId="0" fontId="6" fillId="5" borderId="1" pivotButton="0" quotePrefix="0" xfId="0"/>
    <xf numFmtId="0" fontId="0" fillId="5" borderId="1" pivotButton="0" quotePrefix="0" xfId="0"/>
    <xf numFmtId="3" fontId="4" fillId="2" borderId="1" pivotButton="0" quotePrefix="0" xfId="0"/>
    <xf numFmtId="3" fontId="3" fillId="3" borderId="1" pivotButton="0" quotePrefix="0" xfId="0"/>
    <xf numFmtId="0" fontId="3" fillId="4" borderId="1" applyAlignment="1" pivotButton="0" quotePrefix="0" xfId="0">
      <alignment vertical="center" wrapText="1"/>
    </xf>
    <xf numFmtId="9" fontId="3" fillId="3" borderId="1" pivotButton="0" quotePrefix="0" xfId="0"/>
    <xf numFmtId="9" fontId="4" fillId="2" borderId="1" pivotButton="0" quotePrefix="0" xfId="0"/>
    <xf numFmtId="0" fontId="0" fillId="0" borderId="4" pivotButton="0" quotePrefix="0" xfId="0"/>
    <xf numFmtId="167" fontId="3" fillId="3" borderId="1" pivotButton="0" quotePrefix="0" xfId="0"/>
    <xf numFmtId="10" fontId="6" fillId="3" borderId="1" pivotButton="0" quotePrefix="0" xfId="0"/>
    <xf numFmtId="0" fontId="6" fillId="0" borderId="1" pivotButton="0" quotePrefix="0" xfId="0"/>
    <xf numFmtId="0" fontId="6" fillId="3" borderId="1" pivotButton="0" quotePrefix="0" xfId="0"/>
    <xf numFmtId="0" fontId="3" fillId="0" borderId="1" applyAlignment="1" pivotButton="0" quotePrefix="0" xfId="0">
      <alignment vertical="top" wrapText="1"/>
    </xf>
    <xf numFmtId="0" fontId="6" fillId="3"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20"/>
  <sheetViews>
    <sheetView showGridLines="0" workbookViewId="0">
      <selection activeCell="A1" sqref="A1"/>
    </sheetView>
  </sheetViews>
  <sheetFormatPr baseColWidth="8" defaultRowHeight="15"/>
  <cols>
    <col width="2" customWidth="1" min="1" max="1"/>
    <col width="120" customWidth="1" min="2" max="2"/>
  </cols>
  <sheetData>
    <row r="1" ht="6" customHeight="1"/>
    <row r="2">
      <c r="B2" s="1" t="inlineStr">
        <is>
          <t>The investor's working files: blank templates</t>
        </is>
      </c>
    </row>
    <row r="3">
      <c r="B3" s="2" t="inlineStr">
        <is>
          <t>Companion file to The Tax Lien Investor, by Julian R. Sterling. julianrsterling.com/tax-liens</t>
        </is>
      </c>
    </row>
    <row r="4">
      <c r="B4" s="3" t="inlineStr"/>
    </row>
    <row r="5">
      <c r="B5" s="4" t="inlineStr">
        <is>
          <t>What is in this workbook</t>
        </is>
      </c>
    </row>
    <row r="6" ht="30" customHeight="1">
      <c r="B6" s="3" t="inlineStr">
        <is>
          <t>Sheet 1, Ledger: one line per certificate won, with its payoff under the minimum charge, the gain after the fee, the return for the period and the IRR a year once the redemption month is known (Chapters 2, 3 and 15).</t>
        </is>
      </c>
    </row>
    <row r="7" ht="30" customHeight="1">
      <c r="B7" s="3" t="inlineStr">
        <is>
          <t>Sheet 2, Bid sheet: one row per class of parcel, decided before sale day: lots, face, the lowest bid you will accept, the target it must meet, the budget, and the month until which the minimum charge governs at that bid (Chapter 6).</t>
        </is>
      </c>
    </row>
    <row r="8" ht="30" customHeight="1">
      <c r="B8" s="3" t="inlineStr">
        <is>
          <t>Sheet 3, Redemption record: the tally of past sales by class and by month of redemption, from the county's own files, and the shares the book's model uses: R24, the timing shape, Rapp and Pout (Chapter 4).</t>
        </is>
      </c>
    </row>
    <row r="9" ht="30" customHeight="1">
      <c r="B9" s="3" t="inlineStr">
        <is>
          <t>Sheet 4, Cash calendar: the portfolio's cash month by month from sale day, with the cumulative, the capital outstanding, the IRR a year and the table by quarter (Chapter 12).</t>
        </is>
      </c>
    </row>
    <row r="10" ht="15" customHeight="1">
      <c r="B10" s="3" t="inlineStr">
        <is>
          <t>Sheet 5, Checks: the first line counts the inputs still empty; the others test that the sheets hold together.</t>
        </is>
      </c>
    </row>
    <row r="11">
      <c r="B11" s="3" t="inlineStr"/>
    </row>
    <row r="12">
      <c r="B12" s="4" t="inlineStr">
        <is>
          <t>How to use it</t>
        </is>
      </c>
    </row>
    <row r="13" ht="30" customHeight="1">
      <c r="B13" s="3" t="inlineStr">
        <is>
          <t>Yellow cells with blue type are inputs. They are all empty. Grey cells are formulas: do not type over them. Enter rates as percentages (0.25% as 0.25%), months as whole numbers from the sale, amounts in dollars, outlays as positive numbers.</t>
        </is>
      </c>
    </row>
    <row r="14" ht="30" customHeight="1">
      <c r="B14" s="3" t="inlineStr">
        <is>
          <t>Every formula has been written to return a blank, a zero or a word while its inputs are empty, never an error. Leave a line empty if it does not apply.</t>
        </is>
      </c>
    </row>
    <row r="15" ht="30" customHeight="1">
      <c r="B15" s="3" t="inlineStr">
        <is>
          <t>The ledger prices a redemption with no subsequent taxes, as Chapter 3 does. Record subsequent taxes, deed applications and what they return on the cash calendar, where the IRR counts every flow at its month.</t>
        </is>
      </c>
    </row>
    <row r="16">
      <c r="B16" s="3" t="inlineStr"/>
    </row>
    <row r="17">
      <c r="B17" s="4" t="inlineStr">
        <is>
          <t>Check it against the book</t>
        </is>
      </c>
    </row>
    <row r="18" ht="60" customHeight="1">
      <c r="B18" s="3" t="inlineStr">
        <is>
          <t>Type C-0412 into the ledger: minimum charge 5%, fee $10.00, lag 1; face $3,983.75, bid 0.25%, redeemed in month 2. The line returns a payoff of $4,182.94, a gain after the fee of $189.19 and an IRR of 20.3% a year. Change the month to 12: the payoff does not move and the IRR falls to 4.4%. On the bid sheet, a floor of 18% shows the minimum governing until month 3.33, a floor of 0.25% until month 240: for the whole life of a certificate.</t>
        </is>
      </c>
    </row>
    <row r="19">
      <c r="B19" s="3" t="inlineStr"/>
    </row>
    <row r="20" ht="30" customHeight="1">
      <c r="B20" s="3" t="inlineStr">
        <is>
          <t>The file is provided without warranty of any kind. It is a teaching template, not advice: your state's statute, the county's sale terms and your own counsel decide. No macros. Nothing is locked, protected or hidden.</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M73"/>
  <sheetViews>
    <sheetView showGridLines="0" workbookViewId="0">
      <selection activeCell="A1" sqref="A1"/>
    </sheetView>
  </sheetViews>
  <sheetFormatPr baseColWidth="8" defaultRowHeight="15"/>
  <cols>
    <col width="2" customWidth="1" min="1" max="1"/>
    <col width="6" customWidth="1" min="2" max="2"/>
    <col width="14" customWidth="1" min="3" max="3"/>
    <col width="22" customWidth="1" min="4" max="4"/>
    <col width="8" customWidth="1" min="5" max="5"/>
    <col width="13" customWidth="1" min="6" max="6"/>
    <col width="10" customWidth="1" min="7" max="7"/>
    <col width="12" customWidth="1" min="8" max="8"/>
    <col width="14" customWidth="1" min="9" max="9"/>
    <col width="13" customWidth="1" min="10" max="10"/>
    <col width="12" customWidth="1" min="11" max="11"/>
    <col width="11" customWidth="1" min="12" max="12"/>
    <col width="30" customWidth="1" min="13" max="13"/>
  </cols>
  <sheetData>
    <row r="1" ht="6" customHeight="1"/>
    <row r="2">
      <c r="B2" s="5" t="inlineStr">
        <is>
          <t>The certificate ledger: one line per certificate</t>
        </is>
      </c>
    </row>
    <row r="3">
      <c r="B3" s="6" t="inlineStr">
        <is>
          <t>Yellow cells are inputs, all empty. Payoff, gain and IRR follow the payoff rule of Chapter 2 and the IRR of Chapter 3.</t>
        </is>
      </c>
    </row>
    <row r="5">
      <c r="C5" s="7" t="inlineStr">
        <is>
          <t>Minimum charge on redemption (share of face)</t>
        </is>
      </c>
      <c r="H5" s="8" t="n"/>
      <c r="J5" s="9" t="inlineStr">
        <is>
          <t>Certificates entered</t>
        </is>
      </c>
      <c r="L5" s="10">
        <f>COUNT(F12:F71)</f>
        <v/>
      </c>
    </row>
    <row r="6">
      <c r="C6" s="7" t="inlineStr">
        <is>
          <t>Fee per certificate, paid at the sale, not recovered</t>
        </is>
      </c>
      <c r="H6" s="11" t="n"/>
      <c r="J6" s="9" t="inlineStr">
        <is>
          <t>Face, all certificates</t>
        </is>
      </c>
      <c r="L6" s="12">
        <f>SUM(F12:F71)</f>
        <v/>
      </c>
    </row>
    <row r="7">
      <c r="C7" s="7" t="inlineStr">
        <is>
          <t>Payment lag: months from redemption to the cash</t>
        </is>
      </c>
      <c r="H7" s="13" t="n"/>
      <c r="J7" s="9" t="inlineStr">
        <is>
          <t>Paid: face plus fees</t>
        </is>
      </c>
      <c r="L7" s="12">
        <f>SUM(F12:F71)+COUNT(F12:F71)*N($H$6)</f>
        <v/>
      </c>
    </row>
    <row r="8">
      <c r="C8" s="7" t="inlineStr">
        <is>
          <t>County and sale</t>
        </is>
      </c>
      <c r="H8" s="14" t="n"/>
      <c r="J8" s="9" t="inlineStr">
        <is>
          <t>Redeemed so far</t>
        </is>
      </c>
      <c r="L8" s="10">
        <f>COUNT(I12:I71)</f>
        <v/>
      </c>
    </row>
    <row r="9">
      <c r="J9" s="9" t="inlineStr">
        <is>
          <t>Gain after fees on those redeemed</t>
        </is>
      </c>
      <c r="L9" s="12">
        <f>SUM(J12:J71)</f>
        <v/>
      </c>
    </row>
    <row r="11" ht="32" customHeight="1">
      <c r="B11" s="15" t="inlineStr">
        <is>
          <t>#</t>
        </is>
      </c>
      <c r="C11" s="16" t="inlineStr">
        <is>
          <t>Certificate</t>
        </is>
      </c>
      <c r="D11" s="16" t="inlineStr">
        <is>
          <t>Parcel</t>
        </is>
      </c>
      <c r="E11" s="16" t="inlineStr">
        <is>
          <t>Class</t>
        </is>
      </c>
      <c r="F11" s="16" t="inlineStr">
        <is>
          <t>Face</t>
        </is>
      </c>
      <c r="G11" s="16" t="inlineStr">
        <is>
          <t>Bid rate</t>
        </is>
      </c>
      <c r="H11" s="16" t="inlineStr">
        <is>
          <t>Redeemed in month</t>
        </is>
      </c>
      <c r="I11" s="16" t="inlineStr">
        <is>
          <t>Payoff</t>
        </is>
      </c>
      <c r="J11" s="16" t="inlineStr">
        <is>
          <t>Gain after fee</t>
        </is>
      </c>
      <c r="K11" s="16" t="inlineStr">
        <is>
          <t>Return for the period</t>
        </is>
      </c>
      <c r="L11" s="16" t="inlineStr">
        <is>
          <t>IRR a year</t>
        </is>
      </c>
      <c r="M11" s="16" t="inlineStr">
        <is>
          <t>Notes</t>
        </is>
      </c>
    </row>
    <row r="12">
      <c r="B12" s="17" t="n">
        <v>1</v>
      </c>
      <c r="C12" s="14" t="n"/>
      <c r="D12" s="14" t="n"/>
      <c r="E12" s="18" t="n"/>
      <c r="F12" s="11" t="n"/>
      <c r="G12" s="8" t="n"/>
      <c r="H12" s="13" t="n"/>
      <c r="I12" s="12">
        <f>IF(OR(F12="",G12="",H12=""),"",F12*(1+IF(G12&lt;=0,0,MAX(G12*H12/12,N($H$5)))))</f>
        <v/>
      </c>
      <c r="J12" s="12">
        <f>IF(I12="","",I12-F12-N($H$6))</f>
        <v/>
      </c>
      <c r="K12" s="19">
        <f>IF(I12="","",J12/(F12+N($H$6)))</f>
        <v/>
      </c>
      <c r="L12" s="20">
        <f>IF(I12="","",IFERROR((1+RATE(H12+N($H$7),0,-(F12+N($H$6)),I12))^12-1,""))</f>
        <v/>
      </c>
      <c r="M12" s="14" t="n"/>
    </row>
    <row r="13">
      <c r="B13" s="17" t="n">
        <v>2</v>
      </c>
      <c r="C13" s="14" t="n"/>
      <c r="D13" s="14" t="n"/>
      <c r="E13" s="18" t="n"/>
      <c r="F13" s="11" t="n"/>
      <c r="G13" s="8" t="n"/>
      <c r="H13" s="13" t="n"/>
      <c r="I13" s="12">
        <f>IF(OR(F13="",G13="",H13=""),"",F13*(1+IF(G13&lt;=0,0,MAX(G13*H13/12,N($H$5)))))</f>
        <v/>
      </c>
      <c r="J13" s="12">
        <f>IF(I13="","",I13-F13-N($H$6))</f>
        <v/>
      </c>
      <c r="K13" s="19">
        <f>IF(I13="","",J13/(F13+N($H$6)))</f>
        <v/>
      </c>
      <c r="L13" s="20">
        <f>IF(I13="","",IFERROR((1+RATE(H13+N($H$7),0,-(F13+N($H$6)),I13))^12-1,""))</f>
        <v/>
      </c>
      <c r="M13" s="14" t="n"/>
    </row>
    <row r="14">
      <c r="B14" s="17" t="n">
        <v>3</v>
      </c>
      <c r="C14" s="14" t="n"/>
      <c r="D14" s="14" t="n"/>
      <c r="E14" s="18" t="n"/>
      <c r="F14" s="11" t="n"/>
      <c r="G14" s="8" t="n"/>
      <c r="H14" s="13" t="n"/>
      <c r="I14" s="12">
        <f>IF(OR(F14="",G14="",H14=""),"",F14*(1+IF(G14&lt;=0,0,MAX(G14*H14/12,N($H$5)))))</f>
        <v/>
      </c>
      <c r="J14" s="12">
        <f>IF(I14="","",I14-F14-N($H$6))</f>
        <v/>
      </c>
      <c r="K14" s="19">
        <f>IF(I14="","",J14/(F14+N($H$6)))</f>
        <v/>
      </c>
      <c r="L14" s="20">
        <f>IF(I14="","",IFERROR((1+RATE(H14+N($H$7),0,-(F14+N($H$6)),I14))^12-1,""))</f>
        <v/>
      </c>
      <c r="M14" s="14" t="n"/>
    </row>
    <row r="15">
      <c r="B15" s="17" t="n">
        <v>4</v>
      </c>
      <c r="C15" s="14" t="n"/>
      <c r="D15" s="14" t="n"/>
      <c r="E15" s="18" t="n"/>
      <c r="F15" s="11" t="n"/>
      <c r="G15" s="8" t="n"/>
      <c r="H15" s="13" t="n"/>
      <c r="I15" s="12">
        <f>IF(OR(F15="",G15="",H15=""),"",F15*(1+IF(G15&lt;=0,0,MAX(G15*H15/12,N($H$5)))))</f>
        <v/>
      </c>
      <c r="J15" s="12">
        <f>IF(I15="","",I15-F15-N($H$6))</f>
        <v/>
      </c>
      <c r="K15" s="19">
        <f>IF(I15="","",J15/(F15+N($H$6)))</f>
        <v/>
      </c>
      <c r="L15" s="20">
        <f>IF(I15="","",IFERROR((1+RATE(H15+N($H$7),0,-(F15+N($H$6)),I15))^12-1,""))</f>
        <v/>
      </c>
      <c r="M15" s="14" t="n"/>
    </row>
    <row r="16">
      <c r="B16" s="17" t="n">
        <v>5</v>
      </c>
      <c r="C16" s="14" t="n"/>
      <c r="D16" s="14" t="n"/>
      <c r="E16" s="18" t="n"/>
      <c r="F16" s="11" t="n"/>
      <c r="G16" s="8" t="n"/>
      <c r="H16" s="13" t="n"/>
      <c r="I16" s="12">
        <f>IF(OR(F16="",G16="",H16=""),"",F16*(1+IF(G16&lt;=0,0,MAX(G16*H16/12,N($H$5)))))</f>
        <v/>
      </c>
      <c r="J16" s="12">
        <f>IF(I16="","",I16-F16-N($H$6))</f>
        <v/>
      </c>
      <c r="K16" s="19">
        <f>IF(I16="","",J16/(F16+N($H$6)))</f>
        <v/>
      </c>
      <c r="L16" s="20">
        <f>IF(I16="","",IFERROR((1+RATE(H16+N($H$7),0,-(F16+N($H$6)),I16))^12-1,""))</f>
        <v/>
      </c>
      <c r="M16" s="14" t="n"/>
    </row>
    <row r="17">
      <c r="B17" s="17" t="n">
        <v>6</v>
      </c>
      <c r="C17" s="14" t="n"/>
      <c r="D17" s="14" t="n"/>
      <c r="E17" s="18" t="n"/>
      <c r="F17" s="11" t="n"/>
      <c r="G17" s="8" t="n"/>
      <c r="H17" s="13" t="n"/>
      <c r="I17" s="12">
        <f>IF(OR(F17="",G17="",H17=""),"",F17*(1+IF(G17&lt;=0,0,MAX(G17*H17/12,N($H$5)))))</f>
        <v/>
      </c>
      <c r="J17" s="12">
        <f>IF(I17="","",I17-F17-N($H$6))</f>
        <v/>
      </c>
      <c r="K17" s="19">
        <f>IF(I17="","",J17/(F17+N($H$6)))</f>
        <v/>
      </c>
      <c r="L17" s="20">
        <f>IF(I17="","",IFERROR((1+RATE(H17+N($H$7),0,-(F17+N($H$6)),I17))^12-1,""))</f>
        <v/>
      </c>
      <c r="M17" s="14" t="n"/>
    </row>
    <row r="18">
      <c r="B18" s="17" t="n">
        <v>7</v>
      </c>
      <c r="C18" s="14" t="n"/>
      <c r="D18" s="14" t="n"/>
      <c r="E18" s="18" t="n"/>
      <c r="F18" s="11" t="n"/>
      <c r="G18" s="8" t="n"/>
      <c r="H18" s="13" t="n"/>
      <c r="I18" s="12">
        <f>IF(OR(F18="",G18="",H18=""),"",F18*(1+IF(G18&lt;=0,0,MAX(G18*H18/12,N($H$5)))))</f>
        <v/>
      </c>
      <c r="J18" s="12">
        <f>IF(I18="","",I18-F18-N($H$6))</f>
        <v/>
      </c>
      <c r="K18" s="19">
        <f>IF(I18="","",J18/(F18+N($H$6)))</f>
        <v/>
      </c>
      <c r="L18" s="20">
        <f>IF(I18="","",IFERROR((1+RATE(H18+N($H$7),0,-(F18+N($H$6)),I18))^12-1,""))</f>
        <v/>
      </c>
      <c r="M18" s="14" t="n"/>
    </row>
    <row r="19">
      <c r="B19" s="17" t="n">
        <v>8</v>
      </c>
      <c r="C19" s="14" t="n"/>
      <c r="D19" s="14" t="n"/>
      <c r="E19" s="18" t="n"/>
      <c r="F19" s="11" t="n"/>
      <c r="G19" s="8" t="n"/>
      <c r="H19" s="13" t="n"/>
      <c r="I19" s="12">
        <f>IF(OR(F19="",G19="",H19=""),"",F19*(1+IF(G19&lt;=0,0,MAX(G19*H19/12,N($H$5)))))</f>
        <v/>
      </c>
      <c r="J19" s="12">
        <f>IF(I19="","",I19-F19-N($H$6))</f>
        <v/>
      </c>
      <c r="K19" s="19">
        <f>IF(I19="","",J19/(F19+N($H$6)))</f>
        <v/>
      </c>
      <c r="L19" s="20">
        <f>IF(I19="","",IFERROR((1+RATE(H19+N($H$7),0,-(F19+N($H$6)),I19))^12-1,""))</f>
        <v/>
      </c>
      <c r="M19" s="14" t="n"/>
    </row>
    <row r="20">
      <c r="B20" s="17" t="n">
        <v>9</v>
      </c>
      <c r="C20" s="14" t="n"/>
      <c r="D20" s="14" t="n"/>
      <c r="E20" s="18" t="n"/>
      <c r="F20" s="11" t="n"/>
      <c r="G20" s="8" t="n"/>
      <c r="H20" s="13" t="n"/>
      <c r="I20" s="12">
        <f>IF(OR(F20="",G20="",H20=""),"",F20*(1+IF(G20&lt;=0,0,MAX(G20*H20/12,N($H$5)))))</f>
        <v/>
      </c>
      <c r="J20" s="12">
        <f>IF(I20="","",I20-F20-N($H$6))</f>
        <v/>
      </c>
      <c r="K20" s="19">
        <f>IF(I20="","",J20/(F20+N($H$6)))</f>
        <v/>
      </c>
      <c r="L20" s="20">
        <f>IF(I20="","",IFERROR((1+RATE(H20+N($H$7),0,-(F20+N($H$6)),I20))^12-1,""))</f>
        <v/>
      </c>
      <c r="M20" s="14" t="n"/>
    </row>
    <row r="21">
      <c r="B21" s="17" t="n">
        <v>10</v>
      </c>
      <c r="C21" s="14" t="n"/>
      <c r="D21" s="14" t="n"/>
      <c r="E21" s="18" t="n"/>
      <c r="F21" s="11" t="n"/>
      <c r="G21" s="8" t="n"/>
      <c r="H21" s="13" t="n"/>
      <c r="I21" s="12">
        <f>IF(OR(F21="",G21="",H21=""),"",F21*(1+IF(G21&lt;=0,0,MAX(G21*H21/12,N($H$5)))))</f>
        <v/>
      </c>
      <c r="J21" s="12">
        <f>IF(I21="","",I21-F21-N($H$6))</f>
        <v/>
      </c>
      <c r="K21" s="19">
        <f>IF(I21="","",J21/(F21+N($H$6)))</f>
        <v/>
      </c>
      <c r="L21" s="20">
        <f>IF(I21="","",IFERROR((1+RATE(H21+N($H$7),0,-(F21+N($H$6)),I21))^12-1,""))</f>
        <v/>
      </c>
      <c r="M21" s="14" t="n"/>
    </row>
    <row r="22">
      <c r="B22" s="17" t="n">
        <v>11</v>
      </c>
      <c r="C22" s="14" t="n"/>
      <c r="D22" s="14" t="n"/>
      <c r="E22" s="18" t="n"/>
      <c r="F22" s="11" t="n"/>
      <c r="G22" s="8" t="n"/>
      <c r="H22" s="13" t="n"/>
      <c r="I22" s="12">
        <f>IF(OR(F22="",G22="",H22=""),"",F22*(1+IF(G22&lt;=0,0,MAX(G22*H22/12,N($H$5)))))</f>
        <v/>
      </c>
      <c r="J22" s="12">
        <f>IF(I22="","",I22-F22-N($H$6))</f>
        <v/>
      </c>
      <c r="K22" s="19">
        <f>IF(I22="","",J22/(F22+N($H$6)))</f>
        <v/>
      </c>
      <c r="L22" s="20">
        <f>IF(I22="","",IFERROR((1+RATE(H22+N($H$7),0,-(F22+N($H$6)),I22))^12-1,""))</f>
        <v/>
      </c>
      <c r="M22" s="14" t="n"/>
    </row>
    <row r="23">
      <c r="B23" s="17" t="n">
        <v>12</v>
      </c>
      <c r="C23" s="14" t="n"/>
      <c r="D23" s="14" t="n"/>
      <c r="E23" s="18" t="n"/>
      <c r="F23" s="11" t="n"/>
      <c r="G23" s="8" t="n"/>
      <c r="H23" s="13" t="n"/>
      <c r="I23" s="12">
        <f>IF(OR(F23="",G23="",H23=""),"",F23*(1+IF(G23&lt;=0,0,MAX(G23*H23/12,N($H$5)))))</f>
        <v/>
      </c>
      <c r="J23" s="12">
        <f>IF(I23="","",I23-F23-N($H$6))</f>
        <v/>
      </c>
      <c r="K23" s="19">
        <f>IF(I23="","",J23/(F23+N($H$6)))</f>
        <v/>
      </c>
      <c r="L23" s="20">
        <f>IF(I23="","",IFERROR((1+RATE(H23+N($H$7),0,-(F23+N($H$6)),I23))^12-1,""))</f>
        <v/>
      </c>
      <c r="M23" s="14" t="n"/>
    </row>
    <row r="24">
      <c r="B24" s="17" t="n">
        <v>13</v>
      </c>
      <c r="C24" s="14" t="n"/>
      <c r="D24" s="14" t="n"/>
      <c r="E24" s="18" t="n"/>
      <c r="F24" s="11" t="n"/>
      <c r="G24" s="8" t="n"/>
      <c r="H24" s="13" t="n"/>
      <c r="I24" s="12">
        <f>IF(OR(F24="",G24="",H24=""),"",F24*(1+IF(G24&lt;=0,0,MAX(G24*H24/12,N($H$5)))))</f>
        <v/>
      </c>
      <c r="J24" s="12">
        <f>IF(I24="","",I24-F24-N($H$6))</f>
        <v/>
      </c>
      <c r="K24" s="19">
        <f>IF(I24="","",J24/(F24+N($H$6)))</f>
        <v/>
      </c>
      <c r="L24" s="20">
        <f>IF(I24="","",IFERROR((1+RATE(H24+N($H$7),0,-(F24+N($H$6)),I24))^12-1,""))</f>
        <v/>
      </c>
      <c r="M24" s="14" t="n"/>
    </row>
    <row r="25">
      <c r="B25" s="17" t="n">
        <v>14</v>
      </c>
      <c r="C25" s="14" t="n"/>
      <c r="D25" s="14" t="n"/>
      <c r="E25" s="18" t="n"/>
      <c r="F25" s="11" t="n"/>
      <c r="G25" s="8" t="n"/>
      <c r="H25" s="13" t="n"/>
      <c r="I25" s="12">
        <f>IF(OR(F25="",G25="",H25=""),"",F25*(1+IF(G25&lt;=0,0,MAX(G25*H25/12,N($H$5)))))</f>
        <v/>
      </c>
      <c r="J25" s="12">
        <f>IF(I25="","",I25-F25-N($H$6))</f>
        <v/>
      </c>
      <c r="K25" s="19">
        <f>IF(I25="","",J25/(F25+N($H$6)))</f>
        <v/>
      </c>
      <c r="L25" s="20">
        <f>IF(I25="","",IFERROR((1+RATE(H25+N($H$7),0,-(F25+N($H$6)),I25))^12-1,""))</f>
        <v/>
      </c>
      <c r="M25" s="14" t="n"/>
    </row>
    <row r="26">
      <c r="B26" s="17" t="n">
        <v>15</v>
      </c>
      <c r="C26" s="14" t="n"/>
      <c r="D26" s="14" t="n"/>
      <c r="E26" s="18" t="n"/>
      <c r="F26" s="11" t="n"/>
      <c r="G26" s="8" t="n"/>
      <c r="H26" s="13" t="n"/>
      <c r="I26" s="12">
        <f>IF(OR(F26="",G26="",H26=""),"",F26*(1+IF(G26&lt;=0,0,MAX(G26*H26/12,N($H$5)))))</f>
        <v/>
      </c>
      <c r="J26" s="12">
        <f>IF(I26="","",I26-F26-N($H$6))</f>
        <v/>
      </c>
      <c r="K26" s="19">
        <f>IF(I26="","",J26/(F26+N($H$6)))</f>
        <v/>
      </c>
      <c r="L26" s="20">
        <f>IF(I26="","",IFERROR((1+RATE(H26+N($H$7),0,-(F26+N($H$6)),I26))^12-1,""))</f>
        <v/>
      </c>
      <c r="M26" s="14" t="n"/>
    </row>
    <row r="27">
      <c r="B27" s="17" t="n">
        <v>16</v>
      </c>
      <c r="C27" s="14" t="n"/>
      <c r="D27" s="14" t="n"/>
      <c r="E27" s="18" t="n"/>
      <c r="F27" s="11" t="n"/>
      <c r="G27" s="8" t="n"/>
      <c r="H27" s="13" t="n"/>
      <c r="I27" s="12">
        <f>IF(OR(F27="",G27="",H27=""),"",F27*(1+IF(G27&lt;=0,0,MAX(G27*H27/12,N($H$5)))))</f>
        <v/>
      </c>
      <c r="J27" s="12">
        <f>IF(I27="","",I27-F27-N($H$6))</f>
        <v/>
      </c>
      <c r="K27" s="19">
        <f>IF(I27="","",J27/(F27+N($H$6)))</f>
        <v/>
      </c>
      <c r="L27" s="20">
        <f>IF(I27="","",IFERROR((1+RATE(H27+N($H$7),0,-(F27+N($H$6)),I27))^12-1,""))</f>
        <v/>
      </c>
      <c r="M27" s="14" t="n"/>
    </row>
    <row r="28">
      <c r="B28" s="17" t="n">
        <v>17</v>
      </c>
      <c r="C28" s="14" t="n"/>
      <c r="D28" s="14" t="n"/>
      <c r="E28" s="18" t="n"/>
      <c r="F28" s="11" t="n"/>
      <c r="G28" s="8" t="n"/>
      <c r="H28" s="13" t="n"/>
      <c r="I28" s="12">
        <f>IF(OR(F28="",G28="",H28=""),"",F28*(1+IF(G28&lt;=0,0,MAX(G28*H28/12,N($H$5)))))</f>
        <v/>
      </c>
      <c r="J28" s="12">
        <f>IF(I28="","",I28-F28-N($H$6))</f>
        <v/>
      </c>
      <c r="K28" s="19">
        <f>IF(I28="","",J28/(F28+N($H$6)))</f>
        <v/>
      </c>
      <c r="L28" s="20">
        <f>IF(I28="","",IFERROR((1+RATE(H28+N($H$7),0,-(F28+N($H$6)),I28))^12-1,""))</f>
        <v/>
      </c>
      <c r="M28" s="14" t="n"/>
    </row>
    <row r="29">
      <c r="B29" s="17" t="n">
        <v>18</v>
      </c>
      <c r="C29" s="14" t="n"/>
      <c r="D29" s="14" t="n"/>
      <c r="E29" s="18" t="n"/>
      <c r="F29" s="11" t="n"/>
      <c r="G29" s="8" t="n"/>
      <c r="H29" s="13" t="n"/>
      <c r="I29" s="12">
        <f>IF(OR(F29="",G29="",H29=""),"",F29*(1+IF(G29&lt;=0,0,MAX(G29*H29/12,N($H$5)))))</f>
        <v/>
      </c>
      <c r="J29" s="12">
        <f>IF(I29="","",I29-F29-N($H$6))</f>
        <v/>
      </c>
      <c r="K29" s="19">
        <f>IF(I29="","",J29/(F29+N($H$6)))</f>
        <v/>
      </c>
      <c r="L29" s="20">
        <f>IF(I29="","",IFERROR((1+RATE(H29+N($H$7),0,-(F29+N($H$6)),I29))^12-1,""))</f>
        <v/>
      </c>
      <c r="M29" s="14" t="n"/>
    </row>
    <row r="30">
      <c r="B30" s="17" t="n">
        <v>19</v>
      </c>
      <c r="C30" s="14" t="n"/>
      <c r="D30" s="14" t="n"/>
      <c r="E30" s="18" t="n"/>
      <c r="F30" s="11" t="n"/>
      <c r="G30" s="8" t="n"/>
      <c r="H30" s="13" t="n"/>
      <c r="I30" s="12">
        <f>IF(OR(F30="",G30="",H30=""),"",F30*(1+IF(G30&lt;=0,0,MAX(G30*H30/12,N($H$5)))))</f>
        <v/>
      </c>
      <c r="J30" s="12">
        <f>IF(I30="","",I30-F30-N($H$6))</f>
        <v/>
      </c>
      <c r="K30" s="19">
        <f>IF(I30="","",J30/(F30+N($H$6)))</f>
        <v/>
      </c>
      <c r="L30" s="20">
        <f>IF(I30="","",IFERROR((1+RATE(H30+N($H$7),0,-(F30+N($H$6)),I30))^12-1,""))</f>
        <v/>
      </c>
      <c r="M30" s="14" t="n"/>
    </row>
    <row r="31">
      <c r="B31" s="17" t="n">
        <v>20</v>
      </c>
      <c r="C31" s="14" t="n"/>
      <c r="D31" s="14" t="n"/>
      <c r="E31" s="18" t="n"/>
      <c r="F31" s="11" t="n"/>
      <c r="G31" s="8" t="n"/>
      <c r="H31" s="13" t="n"/>
      <c r="I31" s="12">
        <f>IF(OR(F31="",G31="",H31=""),"",F31*(1+IF(G31&lt;=0,0,MAX(G31*H31/12,N($H$5)))))</f>
        <v/>
      </c>
      <c r="J31" s="12">
        <f>IF(I31="","",I31-F31-N($H$6))</f>
        <v/>
      </c>
      <c r="K31" s="19">
        <f>IF(I31="","",J31/(F31+N($H$6)))</f>
        <v/>
      </c>
      <c r="L31" s="20">
        <f>IF(I31="","",IFERROR((1+RATE(H31+N($H$7),0,-(F31+N($H$6)),I31))^12-1,""))</f>
        <v/>
      </c>
      <c r="M31" s="14" t="n"/>
    </row>
    <row r="32">
      <c r="B32" s="17" t="n">
        <v>21</v>
      </c>
      <c r="C32" s="14" t="n"/>
      <c r="D32" s="14" t="n"/>
      <c r="E32" s="18" t="n"/>
      <c r="F32" s="11" t="n"/>
      <c r="G32" s="8" t="n"/>
      <c r="H32" s="13" t="n"/>
      <c r="I32" s="12">
        <f>IF(OR(F32="",G32="",H32=""),"",F32*(1+IF(G32&lt;=0,0,MAX(G32*H32/12,N($H$5)))))</f>
        <v/>
      </c>
      <c r="J32" s="12">
        <f>IF(I32="","",I32-F32-N($H$6))</f>
        <v/>
      </c>
      <c r="K32" s="19">
        <f>IF(I32="","",J32/(F32+N($H$6)))</f>
        <v/>
      </c>
      <c r="L32" s="20">
        <f>IF(I32="","",IFERROR((1+RATE(H32+N($H$7),0,-(F32+N($H$6)),I32))^12-1,""))</f>
        <v/>
      </c>
      <c r="M32" s="14" t="n"/>
    </row>
    <row r="33">
      <c r="B33" s="17" t="n">
        <v>22</v>
      </c>
      <c r="C33" s="14" t="n"/>
      <c r="D33" s="14" t="n"/>
      <c r="E33" s="18" t="n"/>
      <c r="F33" s="11" t="n"/>
      <c r="G33" s="8" t="n"/>
      <c r="H33" s="13" t="n"/>
      <c r="I33" s="12">
        <f>IF(OR(F33="",G33="",H33=""),"",F33*(1+IF(G33&lt;=0,0,MAX(G33*H33/12,N($H$5)))))</f>
        <v/>
      </c>
      <c r="J33" s="12">
        <f>IF(I33="","",I33-F33-N($H$6))</f>
        <v/>
      </c>
      <c r="K33" s="19">
        <f>IF(I33="","",J33/(F33+N($H$6)))</f>
        <v/>
      </c>
      <c r="L33" s="20">
        <f>IF(I33="","",IFERROR((1+RATE(H33+N($H$7),0,-(F33+N($H$6)),I33))^12-1,""))</f>
        <v/>
      </c>
      <c r="M33" s="14" t="n"/>
    </row>
    <row r="34">
      <c r="B34" s="17" t="n">
        <v>23</v>
      </c>
      <c r="C34" s="14" t="n"/>
      <c r="D34" s="14" t="n"/>
      <c r="E34" s="18" t="n"/>
      <c r="F34" s="11" t="n"/>
      <c r="G34" s="8" t="n"/>
      <c r="H34" s="13" t="n"/>
      <c r="I34" s="12">
        <f>IF(OR(F34="",G34="",H34=""),"",F34*(1+IF(G34&lt;=0,0,MAX(G34*H34/12,N($H$5)))))</f>
        <v/>
      </c>
      <c r="J34" s="12">
        <f>IF(I34="","",I34-F34-N($H$6))</f>
        <v/>
      </c>
      <c r="K34" s="19">
        <f>IF(I34="","",J34/(F34+N($H$6)))</f>
        <v/>
      </c>
      <c r="L34" s="20">
        <f>IF(I34="","",IFERROR((1+RATE(H34+N($H$7),0,-(F34+N($H$6)),I34))^12-1,""))</f>
        <v/>
      </c>
      <c r="M34" s="14" t="n"/>
    </row>
    <row r="35">
      <c r="B35" s="17" t="n">
        <v>24</v>
      </c>
      <c r="C35" s="14" t="n"/>
      <c r="D35" s="14" t="n"/>
      <c r="E35" s="18" t="n"/>
      <c r="F35" s="11" t="n"/>
      <c r="G35" s="8" t="n"/>
      <c r="H35" s="13" t="n"/>
      <c r="I35" s="12">
        <f>IF(OR(F35="",G35="",H35=""),"",F35*(1+IF(G35&lt;=0,0,MAX(G35*H35/12,N($H$5)))))</f>
        <v/>
      </c>
      <c r="J35" s="12">
        <f>IF(I35="","",I35-F35-N($H$6))</f>
        <v/>
      </c>
      <c r="K35" s="19">
        <f>IF(I35="","",J35/(F35+N($H$6)))</f>
        <v/>
      </c>
      <c r="L35" s="20">
        <f>IF(I35="","",IFERROR((1+RATE(H35+N($H$7),0,-(F35+N($H$6)),I35))^12-1,""))</f>
        <v/>
      </c>
      <c r="M35" s="14" t="n"/>
    </row>
    <row r="36">
      <c r="B36" s="17" t="n">
        <v>25</v>
      </c>
      <c r="C36" s="14" t="n"/>
      <c r="D36" s="14" t="n"/>
      <c r="E36" s="18" t="n"/>
      <c r="F36" s="11" t="n"/>
      <c r="G36" s="8" t="n"/>
      <c r="H36" s="13" t="n"/>
      <c r="I36" s="12">
        <f>IF(OR(F36="",G36="",H36=""),"",F36*(1+IF(G36&lt;=0,0,MAX(G36*H36/12,N($H$5)))))</f>
        <v/>
      </c>
      <c r="J36" s="12">
        <f>IF(I36="","",I36-F36-N($H$6))</f>
        <v/>
      </c>
      <c r="K36" s="19">
        <f>IF(I36="","",J36/(F36+N($H$6)))</f>
        <v/>
      </c>
      <c r="L36" s="20">
        <f>IF(I36="","",IFERROR((1+RATE(H36+N($H$7),0,-(F36+N($H$6)),I36))^12-1,""))</f>
        <v/>
      </c>
      <c r="M36" s="14" t="n"/>
    </row>
    <row r="37">
      <c r="B37" s="17" t="n">
        <v>26</v>
      </c>
      <c r="C37" s="14" t="n"/>
      <c r="D37" s="14" t="n"/>
      <c r="E37" s="18" t="n"/>
      <c r="F37" s="11" t="n"/>
      <c r="G37" s="8" t="n"/>
      <c r="H37" s="13" t="n"/>
      <c r="I37" s="12">
        <f>IF(OR(F37="",G37="",H37=""),"",F37*(1+IF(G37&lt;=0,0,MAX(G37*H37/12,N($H$5)))))</f>
        <v/>
      </c>
      <c r="J37" s="12">
        <f>IF(I37="","",I37-F37-N($H$6))</f>
        <v/>
      </c>
      <c r="K37" s="19">
        <f>IF(I37="","",J37/(F37+N($H$6)))</f>
        <v/>
      </c>
      <c r="L37" s="20">
        <f>IF(I37="","",IFERROR((1+RATE(H37+N($H$7),0,-(F37+N($H$6)),I37))^12-1,""))</f>
        <v/>
      </c>
      <c r="M37" s="14" t="n"/>
    </row>
    <row r="38">
      <c r="B38" s="17" t="n">
        <v>27</v>
      </c>
      <c r="C38" s="14" t="n"/>
      <c r="D38" s="14" t="n"/>
      <c r="E38" s="18" t="n"/>
      <c r="F38" s="11" t="n"/>
      <c r="G38" s="8" t="n"/>
      <c r="H38" s="13" t="n"/>
      <c r="I38" s="12">
        <f>IF(OR(F38="",G38="",H38=""),"",F38*(1+IF(G38&lt;=0,0,MAX(G38*H38/12,N($H$5)))))</f>
        <v/>
      </c>
      <c r="J38" s="12">
        <f>IF(I38="","",I38-F38-N($H$6))</f>
        <v/>
      </c>
      <c r="K38" s="19">
        <f>IF(I38="","",J38/(F38+N($H$6)))</f>
        <v/>
      </c>
      <c r="L38" s="20">
        <f>IF(I38="","",IFERROR((1+RATE(H38+N($H$7),0,-(F38+N($H$6)),I38))^12-1,""))</f>
        <v/>
      </c>
      <c r="M38" s="14" t="n"/>
    </row>
    <row r="39">
      <c r="B39" s="17" t="n">
        <v>28</v>
      </c>
      <c r="C39" s="14" t="n"/>
      <c r="D39" s="14" t="n"/>
      <c r="E39" s="18" t="n"/>
      <c r="F39" s="11" t="n"/>
      <c r="G39" s="8" t="n"/>
      <c r="H39" s="13" t="n"/>
      <c r="I39" s="12">
        <f>IF(OR(F39="",G39="",H39=""),"",F39*(1+IF(G39&lt;=0,0,MAX(G39*H39/12,N($H$5)))))</f>
        <v/>
      </c>
      <c r="J39" s="12">
        <f>IF(I39="","",I39-F39-N($H$6))</f>
        <v/>
      </c>
      <c r="K39" s="19">
        <f>IF(I39="","",J39/(F39+N($H$6)))</f>
        <v/>
      </c>
      <c r="L39" s="20">
        <f>IF(I39="","",IFERROR((1+RATE(H39+N($H$7),0,-(F39+N($H$6)),I39))^12-1,""))</f>
        <v/>
      </c>
      <c r="M39" s="14" t="n"/>
    </row>
    <row r="40">
      <c r="B40" s="17" t="n">
        <v>29</v>
      </c>
      <c r="C40" s="14" t="n"/>
      <c r="D40" s="14" t="n"/>
      <c r="E40" s="18" t="n"/>
      <c r="F40" s="11" t="n"/>
      <c r="G40" s="8" t="n"/>
      <c r="H40" s="13" t="n"/>
      <c r="I40" s="12">
        <f>IF(OR(F40="",G40="",H40=""),"",F40*(1+IF(G40&lt;=0,0,MAX(G40*H40/12,N($H$5)))))</f>
        <v/>
      </c>
      <c r="J40" s="12">
        <f>IF(I40="","",I40-F40-N($H$6))</f>
        <v/>
      </c>
      <c r="K40" s="19">
        <f>IF(I40="","",J40/(F40+N($H$6)))</f>
        <v/>
      </c>
      <c r="L40" s="20">
        <f>IF(I40="","",IFERROR((1+RATE(H40+N($H$7),0,-(F40+N($H$6)),I40))^12-1,""))</f>
        <v/>
      </c>
      <c r="M40" s="14" t="n"/>
    </row>
    <row r="41">
      <c r="B41" s="17" t="n">
        <v>30</v>
      </c>
      <c r="C41" s="14" t="n"/>
      <c r="D41" s="14" t="n"/>
      <c r="E41" s="18" t="n"/>
      <c r="F41" s="11" t="n"/>
      <c r="G41" s="8" t="n"/>
      <c r="H41" s="13" t="n"/>
      <c r="I41" s="12">
        <f>IF(OR(F41="",G41="",H41=""),"",F41*(1+IF(G41&lt;=0,0,MAX(G41*H41/12,N($H$5)))))</f>
        <v/>
      </c>
      <c r="J41" s="12">
        <f>IF(I41="","",I41-F41-N($H$6))</f>
        <v/>
      </c>
      <c r="K41" s="19">
        <f>IF(I41="","",J41/(F41+N($H$6)))</f>
        <v/>
      </c>
      <c r="L41" s="20">
        <f>IF(I41="","",IFERROR((1+RATE(H41+N($H$7),0,-(F41+N($H$6)),I41))^12-1,""))</f>
        <v/>
      </c>
      <c r="M41" s="14" t="n"/>
    </row>
    <row r="42">
      <c r="B42" s="17" t="n">
        <v>31</v>
      </c>
      <c r="C42" s="14" t="n"/>
      <c r="D42" s="14" t="n"/>
      <c r="E42" s="18" t="n"/>
      <c r="F42" s="11" t="n"/>
      <c r="G42" s="8" t="n"/>
      <c r="H42" s="13" t="n"/>
      <c r="I42" s="12">
        <f>IF(OR(F42="",G42="",H42=""),"",F42*(1+IF(G42&lt;=0,0,MAX(G42*H42/12,N($H$5)))))</f>
        <v/>
      </c>
      <c r="J42" s="12">
        <f>IF(I42="","",I42-F42-N($H$6))</f>
        <v/>
      </c>
      <c r="K42" s="19">
        <f>IF(I42="","",J42/(F42+N($H$6)))</f>
        <v/>
      </c>
      <c r="L42" s="20">
        <f>IF(I42="","",IFERROR((1+RATE(H42+N($H$7),0,-(F42+N($H$6)),I42))^12-1,""))</f>
        <v/>
      </c>
      <c r="M42" s="14" t="n"/>
    </row>
    <row r="43">
      <c r="B43" s="17" t="n">
        <v>32</v>
      </c>
      <c r="C43" s="14" t="n"/>
      <c r="D43" s="14" t="n"/>
      <c r="E43" s="18" t="n"/>
      <c r="F43" s="11" t="n"/>
      <c r="G43" s="8" t="n"/>
      <c r="H43" s="13" t="n"/>
      <c r="I43" s="12">
        <f>IF(OR(F43="",G43="",H43=""),"",F43*(1+IF(G43&lt;=0,0,MAX(G43*H43/12,N($H$5)))))</f>
        <v/>
      </c>
      <c r="J43" s="12">
        <f>IF(I43="","",I43-F43-N($H$6))</f>
        <v/>
      </c>
      <c r="K43" s="19">
        <f>IF(I43="","",J43/(F43+N($H$6)))</f>
        <v/>
      </c>
      <c r="L43" s="20">
        <f>IF(I43="","",IFERROR((1+RATE(H43+N($H$7),0,-(F43+N($H$6)),I43))^12-1,""))</f>
        <v/>
      </c>
      <c r="M43" s="14" t="n"/>
    </row>
    <row r="44">
      <c r="B44" s="17" t="n">
        <v>33</v>
      </c>
      <c r="C44" s="14" t="n"/>
      <c r="D44" s="14" t="n"/>
      <c r="E44" s="18" t="n"/>
      <c r="F44" s="11" t="n"/>
      <c r="G44" s="8" t="n"/>
      <c r="H44" s="13" t="n"/>
      <c r="I44" s="12">
        <f>IF(OR(F44="",G44="",H44=""),"",F44*(1+IF(G44&lt;=0,0,MAX(G44*H44/12,N($H$5)))))</f>
        <v/>
      </c>
      <c r="J44" s="12">
        <f>IF(I44="","",I44-F44-N($H$6))</f>
        <v/>
      </c>
      <c r="K44" s="19">
        <f>IF(I44="","",J44/(F44+N($H$6)))</f>
        <v/>
      </c>
      <c r="L44" s="20">
        <f>IF(I44="","",IFERROR((1+RATE(H44+N($H$7),0,-(F44+N($H$6)),I44))^12-1,""))</f>
        <v/>
      </c>
      <c r="M44" s="14" t="n"/>
    </row>
    <row r="45">
      <c r="B45" s="17" t="n">
        <v>34</v>
      </c>
      <c r="C45" s="14" t="n"/>
      <c r="D45" s="14" t="n"/>
      <c r="E45" s="18" t="n"/>
      <c r="F45" s="11" t="n"/>
      <c r="G45" s="8" t="n"/>
      <c r="H45" s="13" t="n"/>
      <c r="I45" s="12">
        <f>IF(OR(F45="",G45="",H45=""),"",F45*(1+IF(G45&lt;=0,0,MAX(G45*H45/12,N($H$5)))))</f>
        <v/>
      </c>
      <c r="J45" s="12">
        <f>IF(I45="","",I45-F45-N($H$6))</f>
        <v/>
      </c>
      <c r="K45" s="19">
        <f>IF(I45="","",J45/(F45+N($H$6)))</f>
        <v/>
      </c>
      <c r="L45" s="20">
        <f>IF(I45="","",IFERROR((1+RATE(H45+N($H$7),0,-(F45+N($H$6)),I45))^12-1,""))</f>
        <v/>
      </c>
      <c r="M45" s="14" t="n"/>
    </row>
    <row r="46">
      <c r="B46" s="17" t="n">
        <v>35</v>
      </c>
      <c r="C46" s="14" t="n"/>
      <c r="D46" s="14" t="n"/>
      <c r="E46" s="18" t="n"/>
      <c r="F46" s="11" t="n"/>
      <c r="G46" s="8" t="n"/>
      <c r="H46" s="13" t="n"/>
      <c r="I46" s="12">
        <f>IF(OR(F46="",G46="",H46=""),"",F46*(1+IF(G46&lt;=0,0,MAX(G46*H46/12,N($H$5)))))</f>
        <v/>
      </c>
      <c r="J46" s="12">
        <f>IF(I46="","",I46-F46-N($H$6))</f>
        <v/>
      </c>
      <c r="K46" s="19">
        <f>IF(I46="","",J46/(F46+N($H$6)))</f>
        <v/>
      </c>
      <c r="L46" s="20">
        <f>IF(I46="","",IFERROR((1+RATE(H46+N($H$7),0,-(F46+N($H$6)),I46))^12-1,""))</f>
        <v/>
      </c>
      <c r="M46" s="14" t="n"/>
    </row>
    <row r="47">
      <c r="B47" s="17" t="n">
        <v>36</v>
      </c>
      <c r="C47" s="14" t="n"/>
      <c r="D47" s="14" t="n"/>
      <c r="E47" s="18" t="n"/>
      <c r="F47" s="11" t="n"/>
      <c r="G47" s="8" t="n"/>
      <c r="H47" s="13" t="n"/>
      <c r="I47" s="12">
        <f>IF(OR(F47="",G47="",H47=""),"",F47*(1+IF(G47&lt;=0,0,MAX(G47*H47/12,N($H$5)))))</f>
        <v/>
      </c>
      <c r="J47" s="12">
        <f>IF(I47="","",I47-F47-N($H$6))</f>
        <v/>
      </c>
      <c r="K47" s="19">
        <f>IF(I47="","",J47/(F47+N($H$6)))</f>
        <v/>
      </c>
      <c r="L47" s="20">
        <f>IF(I47="","",IFERROR((1+RATE(H47+N($H$7),0,-(F47+N($H$6)),I47))^12-1,""))</f>
        <v/>
      </c>
      <c r="M47" s="14" t="n"/>
    </row>
    <row r="48">
      <c r="B48" s="17" t="n">
        <v>37</v>
      </c>
      <c r="C48" s="14" t="n"/>
      <c r="D48" s="14" t="n"/>
      <c r="E48" s="18" t="n"/>
      <c r="F48" s="11" t="n"/>
      <c r="G48" s="8" t="n"/>
      <c r="H48" s="13" t="n"/>
      <c r="I48" s="12">
        <f>IF(OR(F48="",G48="",H48=""),"",F48*(1+IF(G48&lt;=0,0,MAX(G48*H48/12,N($H$5)))))</f>
        <v/>
      </c>
      <c r="J48" s="12">
        <f>IF(I48="","",I48-F48-N($H$6))</f>
        <v/>
      </c>
      <c r="K48" s="19">
        <f>IF(I48="","",J48/(F48+N($H$6)))</f>
        <v/>
      </c>
      <c r="L48" s="20">
        <f>IF(I48="","",IFERROR((1+RATE(H48+N($H$7),0,-(F48+N($H$6)),I48))^12-1,""))</f>
        <v/>
      </c>
      <c r="M48" s="14" t="n"/>
    </row>
    <row r="49">
      <c r="B49" s="17" t="n">
        <v>38</v>
      </c>
      <c r="C49" s="14" t="n"/>
      <c r="D49" s="14" t="n"/>
      <c r="E49" s="18" t="n"/>
      <c r="F49" s="11" t="n"/>
      <c r="G49" s="8" t="n"/>
      <c r="H49" s="13" t="n"/>
      <c r="I49" s="12">
        <f>IF(OR(F49="",G49="",H49=""),"",F49*(1+IF(G49&lt;=0,0,MAX(G49*H49/12,N($H$5)))))</f>
        <v/>
      </c>
      <c r="J49" s="12">
        <f>IF(I49="","",I49-F49-N($H$6))</f>
        <v/>
      </c>
      <c r="K49" s="19">
        <f>IF(I49="","",J49/(F49+N($H$6)))</f>
        <v/>
      </c>
      <c r="L49" s="20">
        <f>IF(I49="","",IFERROR((1+RATE(H49+N($H$7),0,-(F49+N($H$6)),I49))^12-1,""))</f>
        <v/>
      </c>
      <c r="M49" s="14" t="n"/>
    </row>
    <row r="50">
      <c r="B50" s="17" t="n">
        <v>39</v>
      </c>
      <c r="C50" s="14" t="n"/>
      <c r="D50" s="14" t="n"/>
      <c r="E50" s="18" t="n"/>
      <c r="F50" s="11" t="n"/>
      <c r="G50" s="8" t="n"/>
      <c r="H50" s="13" t="n"/>
      <c r="I50" s="12">
        <f>IF(OR(F50="",G50="",H50=""),"",F50*(1+IF(G50&lt;=0,0,MAX(G50*H50/12,N($H$5)))))</f>
        <v/>
      </c>
      <c r="J50" s="12">
        <f>IF(I50="","",I50-F50-N($H$6))</f>
        <v/>
      </c>
      <c r="K50" s="19">
        <f>IF(I50="","",J50/(F50+N($H$6)))</f>
        <v/>
      </c>
      <c r="L50" s="20">
        <f>IF(I50="","",IFERROR((1+RATE(H50+N($H$7),0,-(F50+N($H$6)),I50))^12-1,""))</f>
        <v/>
      </c>
      <c r="M50" s="14" t="n"/>
    </row>
    <row r="51">
      <c r="B51" s="17" t="n">
        <v>40</v>
      </c>
      <c r="C51" s="14" t="n"/>
      <c r="D51" s="14" t="n"/>
      <c r="E51" s="18" t="n"/>
      <c r="F51" s="11" t="n"/>
      <c r="G51" s="8" t="n"/>
      <c r="H51" s="13" t="n"/>
      <c r="I51" s="12">
        <f>IF(OR(F51="",G51="",H51=""),"",F51*(1+IF(G51&lt;=0,0,MAX(G51*H51/12,N($H$5)))))</f>
        <v/>
      </c>
      <c r="J51" s="12">
        <f>IF(I51="","",I51-F51-N($H$6))</f>
        <v/>
      </c>
      <c r="K51" s="19">
        <f>IF(I51="","",J51/(F51+N($H$6)))</f>
        <v/>
      </c>
      <c r="L51" s="20">
        <f>IF(I51="","",IFERROR((1+RATE(H51+N($H$7),0,-(F51+N($H$6)),I51))^12-1,""))</f>
        <v/>
      </c>
      <c r="M51" s="14" t="n"/>
    </row>
    <row r="52">
      <c r="B52" s="17" t="n">
        <v>41</v>
      </c>
      <c r="C52" s="14" t="n"/>
      <c r="D52" s="14" t="n"/>
      <c r="E52" s="18" t="n"/>
      <c r="F52" s="11" t="n"/>
      <c r="G52" s="8" t="n"/>
      <c r="H52" s="13" t="n"/>
      <c r="I52" s="12">
        <f>IF(OR(F52="",G52="",H52=""),"",F52*(1+IF(G52&lt;=0,0,MAX(G52*H52/12,N($H$5)))))</f>
        <v/>
      </c>
      <c r="J52" s="12">
        <f>IF(I52="","",I52-F52-N($H$6))</f>
        <v/>
      </c>
      <c r="K52" s="19">
        <f>IF(I52="","",J52/(F52+N($H$6)))</f>
        <v/>
      </c>
      <c r="L52" s="20">
        <f>IF(I52="","",IFERROR((1+RATE(H52+N($H$7),0,-(F52+N($H$6)),I52))^12-1,""))</f>
        <v/>
      </c>
      <c r="M52" s="14" t="n"/>
    </row>
    <row r="53">
      <c r="B53" s="17" t="n">
        <v>42</v>
      </c>
      <c r="C53" s="14" t="n"/>
      <c r="D53" s="14" t="n"/>
      <c r="E53" s="18" t="n"/>
      <c r="F53" s="11" t="n"/>
      <c r="G53" s="8" t="n"/>
      <c r="H53" s="13" t="n"/>
      <c r="I53" s="12">
        <f>IF(OR(F53="",G53="",H53=""),"",F53*(1+IF(G53&lt;=0,0,MAX(G53*H53/12,N($H$5)))))</f>
        <v/>
      </c>
      <c r="J53" s="12">
        <f>IF(I53="","",I53-F53-N($H$6))</f>
        <v/>
      </c>
      <c r="K53" s="19">
        <f>IF(I53="","",J53/(F53+N($H$6)))</f>
        <v/>
      </c>
      <c r="L53" s="20">
        <f>IF(I53="","",IFERROR((1+RATE(H53+N($H$7),0,-(F53+N($H$6)),I53))^12-1,""))</f>
        <v/>
      </c>
      <c r="M53" s="14" t="n"/>
    </row>
    <row r="54">
      <c r="B54" s="17" t="n">
        <v>43</v>
      </c>
      <c r="C54" s="14" t="n"/>
      <c r="D54" s="14" t="n"/>
      <c r="E54" s="18" t="n"/>
      <c r="F54" s="11" t="n"/>
      <c r="G54" s="8" t="n"/>
      <c r="H54" s="13" t="n"/>
      <c r="I54" s="12">
        <f>IF(OR(F54="",G54="",H54=""),"",F54*(1+IF(G54&lt;=0,0,MAX(G54*H54/12,N($H$5)))))</f>
        <v/>
      </c>
      <c r="J54" s="12">
        <f>IF(I54="","",I54-F54-N($H$6))</f>
        <v/>
      </c>
      <c r="K54" s="19">
        <f>IF(I54="","",J54/(F54+N($H$6)))</f>
        <v/>
      </c>
      <c r="L54" s="20">
        <f>IF(I54="","",IFERROR((1+RATE(H54+N($H$7),0,-(F54+N($H$6)),I54))^12-1,""))</f>
        <v/>
      </c>
      <c r="M54" s="14" t="n"/>
    </row>
    <row r="55">
      <c r="B55" s="17" t="n">
        <v>44</v>
      </c>
      <c r="C55" s="14" t="n"/>
      <c r="D55" s="14" t="n"/>
      <c r="E55" s="18" t="n"/>
      <c r="F55" s="11" t="n"/>
      <c r="G55" s="8" t="n"/>
      <c r="H55" s="13" t="n"/>
      <c r="I55" s="12">
        <f>IF(OR(F55="",G55="",H55=""),"",F55*(1+IF(G55&lt;=0,0,MAX(G55*H55/12,N($H$5)))))</f>
        <v/>
      </c>
      <c r="J55" s="12">
        <f>IF(I55="","",I55-F55-N($H$6))</f>
        <v/>
      </c>
      <c r="K55" s="19">
        <f>IF(I55="","",J55/(F55+N($H$6)))</f>
        <v/>
      </c>
      <c r="L55" s="20">
        <f>IF(I55="","",IFERROR((1+RATE(H55+N($H$7),0,-(F55+N($H$6)),I55))^12-1,""))</f>
        <v/>
      </c>
      <c r="M55" s="14" t="n"/>
    </row>
    <row r="56">
      <c r="B56" s="17" t="n">
        <v>45</v>
      </c>
      <c r="C56" s="14" t="n"/>
      <c r="D56" s="14" t="n"/>
      <c r="E56" s="18" t="n"/>
      <c r="F56" s="11" t="n"/>
      <c r="G56" s="8" t="n"/>
      <c r="H56" s="13" t="n"/>
      <c r="I56" s="12">
        <f>IF(OR(F56="",G56="",H56=""),"",F56*(1+IF(G56&lt;=0,0,MAX(G56*H56/12,N($H$5)))))</f>
        <v/>
      </c>
      <c r="J56" s="12">
        <f>IF(I56="","",I56-F56-N($H$6))</f>
        <v/>
      </c>
      <c r="K56" s="19">
        <f>IF(I56="","",J56/(F56+N($H$6)))</f>
        <v/>
      </c>
      <c r="L56" s="20">
        <f>IF(I56="","",IFERROR((1+RATE(H56+N($H$7),0,-(F56+N($H$6)),I56))^12-1,""))</f>
        <v/>
      </c>
      <c r="M56" s="14" t="n"/>
    </row>
    <row r="57">
      <c r="B57" s="17" t="n">
        <v>46</v>
      </c>
      <c r="C57" s="14" t="n"/>
      <c r="D57" s="14" t="n"/>
      <c r="E57" s="18" t="n"/>
      <c r="F57" s="11" t="n"/>
      <c r="G57" s="8" t="n"/>
      <c r="H57" s="13" t="n"/>
      <c r="I57" s="12">
        <f>IF(OR(F57="",G57="",H57=""),"",F57*(1+IF(G57&lt;=0,0,MAX(G57*H57/12,N($H$5)))))</f>
        <v/>
      </c>
      <c r="J57" s="12">
        <f>IF(I57="","",I57-F57-N($H$6))</f>
        <v/>
      </c>
      <c r="K57" s="19">
        <f>IF(I57="","",J57/(F57+N($H$6)))</f>
        <v/>
      </c>
      <c r="L57" s="20">
        <f>IF(I57="","",IFERROR((1+RATE(H57+N($H$7),0,-(F57+N($H$6)),I57))^12-1,""))</f>
        <v/>
      </c>
      <c r="M57" s="14" t="n"/>
    </row>
    <row r="58">
      <c r="B58" s="17" t="n">
        <v>47</v>
      </c>
      <c r="C58" s="14" t="n"/>
      <c r="D58" s="14" t="n"/>
      <c r="E58" s="18" t="n"/>
      <c r="F58" s="11" t="n"/>
      <c r="G58" s="8" t="n"/>
      <c r="H58" s="13" t="n"/>
      <c r="I58" s="12">
        <f>IF(OR(F58="",G58="",H58=""),"",F58*(1+IF(G58&lt;=0,0,MAX(G58*H58/12,N($H$5)))))</f>
        <v/>
      </c>
      <c r="J58" s="12">
        <f>IF(I58="","",I58-F58-N($H$6))</f>
        <v/>
      </c>
      <c r="K58" s="19">
        <f>IF(I58="","",J58/(F58+N($H$6)))</f>
        <v/>
      </c>
      <c r="L58" s="20">
        <f>IF(I58="","",IFERROR((1+RATE(H58+N($H$7),0,-(F58+N($H$6)),I58))^12-1,""))</f>
        <v/>
      </c>
      <c r="M58" s="14" t="n"/>
    </row>
    <row r="59">
      <c r="B59" s="17" t="n">
        <v>48</v>
      </c>
      <c r="C59" s="14" t="n"/>
      <c r="D59" s="14" t="n"/>
      <c r="E59" s="18" t="n"/>
      <c r="F59" s="11" t="n"/>
      <c r="G59" s="8" t="n"/>
      <c r="H59" s="13" t="n"/>
      <c r="I59" s="12">
        <f>IF(OR(F59="",G59="",H59=""),"",F59*(1+IF(G59&lt;=0,0,MAX(G59*H59/12,N($H$5)))))</f>
        <v/>
      </c>
      <c r="J59" s="12">
        <f>IF(I59="","",I59-F59-N($H$6))</f>
        <v/>
      </c>
      <c r="K59" s="19">
        <f>IF(I59="","",J59/(F59+N($H$6)))</f>
        <v/>
      </c>
      <c r="L59" s="20">
        <f>IF(I59="","",IFERROR((1+RATE(H59+N($H$7),0,-(F59+N($H$6)),I59))^12-1,""))</f>
        <v/>
      </c>
      <c r="M59" s="14" t="n"/>
    </row>
    <row r="60">
      <c r="B60" s="17" t="n">
        <v>49</v>
      </c>
      <c r="C60" s="14" t="n"/>
      <c r="D60" s="14" t="n"/>
      <c r="E60" s="18" t="n"/>
      <c r="F60" s="11" t="n"/>
      <c r="G60" s="8" t="n"/>
      <c r="H60" s="13" t="n"/>
      <c r="I60" s="12">
        <f>IF(OR(F60="",G60="",H60=""),"",F60*(1+IF(G60&lt;=0,0,MAX(G60*H60/12,N($H$5)))))</f>
        <v/>
      </c>
      <c r="J60" s="12">
        <f>IF(I60="","",I60-F60-N($H$6))</f>
        <v/>
      </c>
      <c r="K60" s="19">
        <f>IF(I60="","",J60/(F60+N($H$6)))</f>
        <v/>
      </c>
      <c r="L60" s="20">
        <f>IF(I60="","",IFERROR((1+RATE(H60+N($H$7),0,-(F60+N($H$6)),I60))^12-1,""))</f>
        <v/>
      </c>
      <c r="M60" s="14" t="n"/>
    </row>
    <row r="61">
      <c r="B61" s="17" t="n">
        <v>50</v>
      </c>
      <c r="C61" s="14" t="n"/>
      <c r="D61" s="14" t="n"/>
      <c r="E61" s="18" t="n"/>
      <c r="F61" s="11" t="n"/>
      <c r="G61" s="8" t="n"/>
      <c r="H61" s="13" t="n"/>
      <c r="I61" s="12">
        <f>IF(OR(F61="",G61="",H61=""),"",F61*(1+IF(G61&lt;=0,0,MAX(G61*H61/12,N($H$5)))))</f>
        <v/>
      </c>
      <c r="J61" s="12">
        <f>IF(I61="","",I61-F61-N($H$6))</f>
        <v/>
      </c>
      <c r="K61" s="19">
        <f>IF(I61="","",J61/(F61+N($H$6)))</f>
        <v/>
      </c>
      <c r="L61" s="20">
        <f>IF(I61="","",IFERROR((1+RATE(H61+N($H$7),0,-(F61+N($H$6)),I61))^12-1,""))</f>
        <v/>
      </c>
      <c r="M61" s="14" t="n"/>
    </row>
    <row r="62">
      <c r="B62" s="17" t="n">
        <v>51</v>
      </c>
      <c r="C62" s="14" t="n"/>
      <c r="D62" s="14" t="n"/>
      <c r="E62" s="18" t="n"/>
      <c r="F62" s="11" t="n"/>
      <c r="G62" s="8" t="n"/>
      <c r="H62" s="13" t="n"/>
      <c r="I62" s="12">
        <f>IF(OR(F62="",G62="",H62=""),"",F62*(1+IF(G62&lt;=0,0,MAX(G62*H62/12,N($H$5)))))</f>
        <v/>
      </c>
      <c r="J62" s="12">
        <f>IF(I62="","",I62-F62-N($H$6))</f>
        <v/>
      </c>
      <c r="K62" s="19">
        <f>IF(I62="","",J62/(F62+N($H$6)))</f>
        <v/>
      </c>
      <c r="L62" s="20">
        <f>IF(I62="","",IFERROR((1+RATE(H62+N($H$7),0,-(F62+N($H$6)),I62))^12-1,""))</f>
        <v/>
      </c>
      <c r="M62" s="14" t="n"/>
    </row>
    <row r="63">
      <c r="B63" s="17" t="n">
        <v>52</v>
      </c>
      <c r="C63" s="14" t="n"/>
      <c r="D63" s="14" t="n"/>
      <c r="E63" s="18" t="n"/>
      <c r="F63" s="11" t="n"/>
      <c r="G63" s="8" t="n"/>
      <c r="H63" s="13" t="n"/>
      <c r="I63" s="12">
        <f>IF(OR(F63="",G63="",H63=""),"",F63*(1+IF(G63&lt;=0,0,MAX(G63*H63/12,N($H$5)))))</f>
        <v/>
      </c>
      <c r="J63" s="12">
        <f>IF(I63="","",I63-F63-N($H$6))</f>
        <v/>
      </c>
      <c r="K63" s="19">
        <f>IF(I63="","",J63/(F63+N($H$6)))</f>
        <v/>
      </c>
      <c r="L63" s="20">
        <f>IF(I63="","",IFERROR((1+RATE(H63+N($H$7),0,-(F63+N($H$6)),I63))^12-1,""))</f>
        <v/>
      </c>
      <c r="M63" s="14" t="n"/>
    </row>
    <row r="64">
      <c r="B64" s="17" t="n">
        <v>53</v>
      </c>
      <c r="C64" s="14" t="n"/>
      <c r="D64" s="14" t="n"/>
      <c r="E64" s="18" t="n"/>
      <c r="F64" s="11" t="n"/>
      <c r="G64" s="8" t="n"/>
      <c r="H64" s="13" t="n"/>
      <c r="I64" s="12">
        <f>IF(OR(F64="",G64="",H64=""),"",F64*(1+IF(G64&lt;=0,0,MAX(G64*H64/12,N($H$5)))))</f>
        <v/>
      </c>
      <c r="J64" s="12">
        <f>IF(I64="","",I64-F64-N($H$6))</f>
        <v/>
      </c>
      <c r="K64" s="19">
        <f>IF(I64="","",J64/(F64+N($H$6)))</f>
        <v/>
      </c>
      <c r="L64" s="20">
        <f>IF(I64="","",IFERROR((1+RATE(H64+N($H$7),0,-(F64+N($H$6)),I64))^12-1,""))</f>
        <v/>
      </c>
      <c r="M64" s="14" t="n"/>
    </row>
    <row r="65">
      <c r="B65" s="17" t="n">
        <v>54</v>
      </c>
      <c r="C65" s="14" t="n"/>
      <c r="D65" s="14" t="n"/>
      <c r="E65" s="18" t="n"/>
      <c r="F65" s="11" t="n"/>
      <c r="G65" s="8" t="n"/>
      <c r="H65" s="13" t="n"/>
      <c r="I65" s="12">
        <f>IF(OR(F65="",G65="",H65=""),"",F65*(1+IF(G65&lt;=0,0,MAX(G65*H65/12,N($H$5)))))</f>
        <v/>
      </c>
      <c r="J65" s="12">
        <f>IF(I65="","",I65-F65-N($H$6))</f>
        <v/>
      </c>
      <c r="K65" s="19">
        <f>IF(I65="","",J65/(F65+N($H$6)))</f>
        <v/>
      </c>
      <c r="L65" s="20">
        <f>IF(I65="","",IFERROR((1+RATE(H65+N($H$7),0,-(F65+N($H$6)),I65))^12-1,""))</f>
        <v/>
      </c>
      <c r="M65" s="14" t="n"/>
    </row>
    <row r="66">
      <c r="B66" s="17" t="n">
        <v>55</v>
      </c>
      <c r="C66" s="14" t="n"/>
      <c r="D66" s="14" t="n"/>
      <c r="E66" s="18" t="n"/>
      <c r="F66" s="11" t="n"/>
      <c r="G66" s="8" t="n"/>
      <c r="H66" s="13" t="n"/>
      <c r="I66" s="12">
        <f>IF(OR(F66="",G66="",H66=""),"",F66*(1+IF(G66&lt;=0,0,MAX(G66*H66/12,N($H$5)))))</f>
        <v/>
      </c>
      <c r="J66" s="12">
        <f>IF(I66="","",I66-F66-N($H$6))</f>
        <v/>
      </c>
      <c r="K66" s="19">
        <f>IF(I66="","",J66/(F66+N($H$6)))</f>
        <v/>
      </c>
      <c r="L66" s="20">
        <f>IF(I66="","",IFERROR((1+RATE(H66+N($H$7),0,-(F66+N($H$6)),I66))^12-1,""))</f>
        <v/>
      </c>
      <c r="M66" s="14" t="n"/>
    </row>
    <row r="67">
      <c r="B67" s="17" t="n">
        <v>56</v>
      </c>
      <c r="C67" s="14" t="n"/>
      <c r="D67" s="14" t="n"/>
      <c r="E67" s="18" t="n"/>
      <c r="F67" s="11" t="n"/>
      <c r="G67" s="8" t="n"/>
      <c r="H67" s="13" t="n"/>
      <c r="I67" s="12">
        <f>IF(OR(F67="",G67="",H67=""),"",F67*(1+IF(G67&lt;=0,0,MAX(G67*H67/12,N($H$5)))))</f>
        <v/>
      </c>
      <c r="J67" s="12">
        <f>IF(I67="","",I67-F67-N($H$6))</f>
        <v/>
      </c>
      <c r="K67" s="19">
        <f>IF(I67="","",J67/(F67+N($H$6)))</f>
        <v/>
      </c>
      <c r="L67" s="20">
        <f>IF(I67="","",IFERROR((1+RATE(H67+N($H$7),0,-(F67+N($H$6)),I67))^12-1,""))</f>
        <v/>
      </c>
      <c r="M67" s="14" t="n"/>
    </row>
    <row r="68">
      <c r="B68" s="17" t="n">
        <v>57</v>
      </c>
      <c r="C68" s="14" t="n"/>
      <c r="D68" s="14" t="n"/>
      <c r="E68" s="18" t="n"/>
      <c r="F68" s="11" t="n"/>
      <c r="G68" s="8" t="n"/>
      <c r="H68" s="13" t="n"/>
      <c r="I68" s="12">
        <f>IF(OR(F68="",G68="",H68=""),"",F68*(1+IF(G68&lt;=0,0,MAX(G68*H68/12,N($H$5)))))</f>
        <v/>
      </c>
      <c r="J68" s="12">
        <f>IF(I68="","",I68-F68-N($H$6))</f>
        <v/>
      </c>
      <c r="K68" s="19">
        <f>IF(I68="","",J68/(F68+N($H$6)))</f>
        <v/>
      </c>
      <c r="L68" s="20">
        <f>IF(I68="","",IFERROR((1+RATE(H68+N($H$7),0,-(F68+N($H$6)),I68))^12-1,""))</f>
        <v/>
      </c>
      <c r="M68" s="14" t="n"/>
    </row>
    <row r="69">
      <c r="B69" s="17" t="n">
        <v>58</v>
      </c>
      <c r="C69" s="14" t="n"/>
      <c r="D69" s="14" t="n"/>
      <c r="E69" s="18" t="n"/>
      <c r="F69" s="11" t="n"/>
      <c r="G69" s="8" t="n"/>
      <c r="H69" s="13" t="n"/>
      <c r="I69" s="12">
        <f>IF(OR(F69="",G69="",H69=""),"",F69*(1+IF(G69&lt;=0,0,MAX(G69*H69/12,N($H$5)))))</f>
        <v/>
      </c>
      <c r="J69" s="12">
        <f>IF(I69="","",I69-F69-N($H$6))</f>
        <v/>
      </c>
      <c r="K69" s="19">
        <f>IF(I69="","",J69/(F69+N($H$6)))</f>
        <v/>
      </c>
      <c r="L69" s="20">
        <f>IF(I69="","",IFERROR((1+RATE(H69+N($H$7),0,-(F69+N($H$6)),I69))^12-1,""))</f>
        <v/>
      </c>
      <c r="M69" s="14" t="n"/>
    </row>
    <row r="70">
      <c r="B70" s="17" t="n">
        <v>59</v>
      </c>
      <c r="C70" s="14" t="n"/>
      <c r="D70" s="14" t="n"/>
      <c r="E70" s="18" t="n"/>
      <c r="F70" s="11" t="n"/>
      <c r="G70" s="8" t="n"/>
      <c r="H70" s="13" t="n"/>
      <c r="I70" s="12">
        <f>IF(OR(F70="",G70="",H70=""),"",F70*(1+IF(G70&lt;=0,0,MAX(G70*H70/12,N($H$5)))))</f>
        <v/>
      </c>
      <c r="J70" s="12">
        <f>IF(I70="","",I70-F70-N($H$6))</f>
        <v/>
      </c>
      <c r="K70" s="19">
        <f>IF(I70="","",J70/(F70+N($H$6)))</f>
        <v/>
      </c>
      <c r="L70" s="20">
        <f>IF(I70="","",IFERROR((1+RATE(H70+N($H$7),0,-(F70+N($H$6)),I70))^12-1,""))</f>
        <v/>
      </c>
      <c r="M70" s="14" t="n"/>
    </row>
    <row r="71">
      <c r="B71" s="17" t="n">
        <v>60</v>
      </c>
      <c r="C71" s="14" t="n"/>
      <c r="D71" s="14" t="n"/>
      <c r="E71" s="18" t="n"/>
      <c r="F71" s="11" t="n"/>
      <c r="G71" s="8" t="n"/>
      <c r="H71" s="13" t="n"/>
      <c r="I71" s="12">
        <f>IF(OR(F71="",G71="",H71=""),"",F71*(1+IF(G71&lt;=0,0,MAX(G71*H71/12,N($H$5)))))</f>
        <v/>
      </c>
      <c r="J71" s="12">
        <f>IF(I71="","",I71-F71-N($H$6))</f>
        <v/>
      </c>
      <c r="K71" s="19">
        <f>IF(I71="","",J71/(F71+N($H$6)))</f>
        <v/>
      </c>
      <c r="L71" s="20">
        <f>IF(I71="","",IFERROR((1+RATE(H71+N($H$7),0,-(F71+N($H$6)),I71))^12-1,""))</f>
        <v/>
      </c>
      <c r="M71" s="14" t="n"/>
    </row>
    <row r="73">
      <c r="B73" s="6" t="inlineStr">
        <is>
          <t>A line is priced once face, bid and redemption month are entered. A 0% bid earns nothing: the line shows the fee lost.</t>
        </is>
      </c>
    </row>
  </sheetData>
  <dataValidations count="1">
    <dataValidation sqref="E12:E71" showDropDown="0" showInputMessage="0" showErrorMessage="0" allowBlank="1" type="list">
      <formula1>"A,B,C,D,E"</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K19"/>
  <sheetViews>
    <sheetView showGridLines="0" workbookViewId="0">
      <selection activeCell="A1" sqref="A1"/>
    </sheetView>
  </sheetViews>
  <sheetFormatPr baseColWidth="8" defaultRowHeight="15"/>
  <cols>
    <col width="2" customWidth="1" min="1" max="1"/>
    <col width="8" customWidth="1" min="2" max="2"/>
    <col width="30" customWidth="1" min="3" max="3"/>
    <col width="11" customWidth="1" min="4" max="4"/>
    <col width="13" customWidth="1" min="5" max="5"/>
    <col width="12" customWidth="1" min="6" max="6"/>
    <col width="12" customWidth="1" min="7" max="7"/>
    <col width="14" customWidth="1" min="8" max="8"/>
    <col width="15" customWidth="1" min="9" max="9"/>
    <col width="16" customWidth="1" min="10" max="10"/>
    <col width="13" customWidth="1" min="11" max="11"/>
  </cols>
  <sheetData>
    <row r="1" ht="6" customHeight="1"/>
    <row r="2">
      <c r="B2" s="5" t="inlineStr">
        <is>
          <t>The bid sheet: how low to bid, class by class, decided before sale day (Chapter 6)</t>
        </is>
      </c>
    </row>
    <row r="3">
      <c r="B3" s="6" t="inlineStr">
        <is>
          <t>One row per class of parcel. The expected IRR at your floor comes from the portfolio workbook or your own model.</t>
        </is>
      </c>
    </row>
    <row r="5">
      <c r="C5" s="9" t="inlineStr">
        <is>
          <t>Budget for this sale</t>
        </is>
      </c>
      <c r="D5" s="21" t="n"/>
      <c r="G5" s="9" t="inlineStr">
        <is>
          <t>Planned at face plus fees</t>
        </is>
      </c>
      <c r="I5" s="22">
        <f>SUM(I10:I17)</f>
        <v/>
      </c>
    </row>
    <row r="6">
      <c r="C6" s="9" t="inlineStr">
        <is>
          <t>Hurdle: your required return</t>
        </is>
      </c>
      <c r="D6" s="23" t="n"/>
      <c r="G6" s="9" t="inlineStr">
        <is>
          <t>Left from the budget</t>
        </is>
      </c>
      <c r="I6" s="22">
        <f>IF(D5="","",D5-I5)</f>
        <v/>
      </c>
    </row>
    <row r="7">
      <c r="C7" s="9" t="inlineStr">
        <is>
          <t>Treasury bill rate</t>
        </is>
      </c>
      <c r="D7" s="23" t="n"/>
      <c r="G7" s="9" t="inlineStr">
        <is>
          <t>Classes below the hurdle at their floor</t>
        </is>
      </c>
      <c r="I7" s="10">
        <f>COUNTIF(K10:K17,"no")</f>
        <v/>
      </c>
    </row>
    <row r="9" ht="44" customHeight="1">
      <c r="B9" s="15" t="inlineStr">
        <is>
          <t>Class</t>
        </is>
      </c>
      <c r="C9" s="16" t="inlineStr">
        <is>
          <t>Description</t>
        </is>
      </c>
      <c r="D9" s="16" t="inlineStr">
        <is>
          <t>Lots to bid</t>
        </is>
      </c>
      <c r="E9" s="16" t="inlineStr">
        <is>
          <t>Average face</t>
        </is>
      </c>
      <c r="F9" s="16" t="inlineStr">
        <is>
          <t>Floor bid (lowest you accept)</t>
        </is>
      </c>
      <c r="G9" s="16" t="inlineStr">
        <is>
          <t>Target it must meet</t>
        </is>
      </c>
      <c r="H9" s="16" t="inlineStr">
        <is>
          <t>Expected IRR at the floor</t>
        </is>
      </c>
      <c r="I9" s="16" t="inlineStr">
        <is>
          <t>Budget at face plus fees</t>
        </is>
      </c>
      <c r="J9" s="16" t="inlineStr">
        <is>
          <t>Minimum charge governs until month</t>
        </is>
      </c>
      <c r="K9" s="16" t="inlineStr">
        <is>
          <t>Meets the target?</t>
        </is>
      </c>
    </row>
    <row r="10">
      <c r="B10" s="18" t="n"/>
      <c r="C10" s="14" t="n"/>
      <c r="D10" s="13" t="n"/>
      <c r="E10" s="21" t="n"/>
      <c r="F10" s="8" t="n"/>
      <c r="G10" s="23" t="n"/>
      <c r="H10" s="23" t="n"/>
      <c r="I10" s="22">
        <f>N(D10)*(N(E10)+N('1. Ledger'!$H$6))</f>
        <v/>
      </c>
      <c r="J10" s="24">
        <f>IF(OR(F10="",'1. Ledger'!$H$5=""),"",IF(F10&lt;=0,"earns nothing",'1. Ledger'!$H$5*12/F10))</f>
        <v/>
      </c>
      <c r="K10" s="25">
        <f>IF(OR(G10="",H10=""),"",IF(H10&gt;=G10,"yes","no"))</f>
        <v/>
      </c>
    </row>
    <row r="11">
      <c r="B11" s="18" t="n"/>
      <c r="C11" s="14" t="n"/>
      <c r="D11" s="13" t="n"/>
      <c r="E11" s="21" t="n"/>
      <c r="F11" s="8" t="n"/>
      <c r="G11" s="23" t="n"/>
      <c r="H11" s="23" t="n"/>
      <c r="I11" s="22">
        <f>N(D11)*(N(E11)+N('1. Ledger'!$H$6))</f>
        <v/>
      </c>
      <c r="J11" s="24">
        <f>IF(OR(F11="",'1. Ledger'!$H$5=""),"",IF(F11&lt;=0,"earns nothing",'1. Ledger'!$H$5*12/F11))</f>
        <v/>
      </c>
      <c r="K11" s="25">
        <f>IF(OR(G11="",H11=""),"",IF(H11&gt;=G11,"yes","no"))</f>
        <v/>
      </c>
    </row>
    <row r="12">
      <c r="B12" s="18" t="n"/>
      <c r="C12" s="14" t="n"/>
      <c r="D12" s="13" t="n"/>
      <c r="E12" s="21" t="n"/>
      <c r="F12" s="8" t="n"/>
      <c r="G12" s="23" t="n"/>
      <c r="H12" s="23" t="n"/>
      <c r="I12" s="22">
        <f>N(D12)*(N(E12)+N('1. Ledger'!$H$6))</f>
        <v/>
      </c>
      <c r="J12" s="24">
        <f>IF(OR(F12="",'1. Ledger'!$H$5=""),"",IF(F12&lt;=0,"earns nothing",'1. Ledger'!$H$5*12/F12))</f>
        <v/>
      </c>
      <c r="K12" s="25">
        <f>IF(OR(G12="",H12=""),"",IF(H12&gt;=G12,"yes","no"))</f>
        <v/>
      </c>
    </row>
    <row r="13">
      <c r="B13" s="18" t="n"/>
      <c r="C13" s="14" t="n"/>
      <c r="D13" s="13" t="n"/>
      <c r="E13" s="21" t="n"/>
      <c r="F13" s="8" t="n"/>
      <c r="G13" s="23" t="n"/>
      <c r="H13" s="23" t="n"/>
      <c r="I13" s="22">
        <f>N(D13)*(N(E13)+N('1. Ledger'!$H$6))</f>
        <v/>
      </c>
      <c r="J13" s="24">
        <f>IF(OR(F13="",'1. Ledger'!$H$5=""),"",IF(F13&lt;=0,"earns nothing",'1. Ledger'!$H$5*12/F13))</f>
        <v/>
      </c>
      <c r="K13" s="25">
        <f>IF(OR(G13="",H13=""),"",IF(H13&gt;=G13,"yes","no"))</f>
        <v/>
      </c>
    </row>
    <row r="14">
      <c r="B14" s="18" t="n"/>
      <c r="C14" s="14" t="n"/>
      <c r="D14" s="13" t="n"/>
      <c r="E14" s="21" t="n"/>
      <c r="F14" s="8" t="n"/>
      <c r="G14" s="23" t="n"/>
      <c r="H14" s="23" t="n"/>
      <c r="I14" s="22">
        <f>N(D14)*(N(E14)+N('1. Ledger'!$H$6))</f>
        <v/>
      </c>
      <c r="J14" s="24">
        <f>IF(OR(F14="",'1. Ledger'!$H$5=""),"",IF(F14&lt;=0,"earns nothing",'1. Ledger'!$H$5*12/F14))</f>
        <v/>
      </c>
      <c r="K14" s="25">
        <f>IF(OR(G14="",H14=""),"",IF(H14&gt;=G14,"yes","no"))</f>
        <v/>
      </c>
    </row>
    <row r="15">
      <c r="B15" s="18" t="n"/>
      <c r="C15" s="14" t="n"/>
      <c r="D15" s="13" t="n"/>
      <c r="E15" s="21" t="n"/>
      <c r="F15" s="8" t="n"/>
      <c r="G15" s="23" t="n"/>
      <c r="H15" s="23" t="n"/>
      <c r="I15" s="22">
        <f>N(D15)*(N(E15)+N('1. Ledger'!$H$6))</f>
        <v/>
      </c>
      <c r="J15" s="24">
        <f>IF(OR(F15="",'1. Ledger'!$H$5=""),"",IF(F15&lt;=0,"earns nothing",'1. Ledger'!$H$5*12/F15))</f>
        <v/>
      </c>
      <c r="K15" s="25">
        <f>IF(OR(G15="",H15=""),"",IF(H15&gt;=G15,"yes","no"))</f>
        <v/>
      </c>
    </row>
    <row r="16">
      <c r="B16" s="18" t="n"/>
      <c r="C16" s="14" t="n"/>
      <c r="D16" s="13" t="n"/>
      <c r="E16" s="21" t="n"/>
      <c r="F16" s="8" t="n"/>
      <c r="G16" s="23" t="n"/>
      <c r="H16" s="23" t="n"/>
      <c r="I16" s="22">
        <f>N(D16)*(N(E16)+N('1. Ledger'!$H$6))</f>
        <v/>
      </c>
      <c r="J16" s="24">
        <f>IF(OR(F16="",'1. Ledger'!$H$5=""),"",IF(F16&lt;=0,"earns nothing",'1. Ledger'!$H$5*12/F16))</f>
        <v/>
      </c>
      <c r="K16" s="25">
        <f>IF(OR(G16="",H16=""),"",IF(H16&gt;=G16,"yes","no"))</f>
        <v/>
      </c>
    </row>
    <row r="17">
      <c r="B17" s="18" t="n"/>
      <c r="C17" s="14" t="n"/>
      <c r="D17" s="13" t="n"/>
      <c r="E17" s="21" t="n"/>
      <c r="F17" s="8" t="n"/>
      <c r="G17" s="23" t="n"/>
      <c r="H17" s="23" t="n"/>
      <c r="I17" s="22">
        <f>N(D17)*(N(E17)+N('1. Ledger'!$H$6))</f>
        <v/>
      </c>
      <c r="J17" s="24">
        <f>IF(OR(F17="",'1. Ledger'!$H$5=""),"",IF(F17&lt;=0,"earns nothing",'1. Ledger'!$H$5*12/F17))</f>
        <v/>
      </c>
      <c r="K17" s="25">
        <f>IF(OR(G17="",H17=""),"",IF(H17&gt;=G17,"yes","no"))</f>
        <v/>
      </c>
    </row>
    <row r="19">
      <c r="B19" s="6" t="inlineStr">
        <is>
          <t>Below the crossover month every positive bid earns the same minimum charge: bidding lower costs nothing on a certificate that redeems early.</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P27"/>
  <sheetViews>
    <sheetView showGridLines="0" workbookViewId="0">
      <selection activeCell="A1" sqref="A1"/>
    </sheetView>
  </sheetViews>
  <sheetFormatPr baseColWidth="8" defaultRowHeight="15"/>
  <cols>
    <col width="2" customWidth="1" min="1" max="1"/>
    <col width="10" customWidth="1" min="2" max="2"/>
    <col width="11" customWidth="1" min="3" max="3"/>
    <col width="9.5"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s>
  <sheetData>
    <row r="1" ht="6" customHeight="1"/>
    <row r="2">
      <c r="B2" s="5" t="inlineStr">
        <is>
          <t>The redemption record: a tally by class and by month, from the county's own files (Chapter 4)</t>
        </is>
      </c>
    </row>
    <row r="3">
      <c r="B3" s="6" t="inlineStr">
        <is>
          <t>Count certificates, not dollars. Enter each past sale on its own copy of this sheet, or add the sales together.</t>
        </is>
      </c>
    </row>
    <row r="5">
      <c r="B5" s="26" t="inlineStr">
        <is>
          <t>Tally: certificates sold, and when each was redeemed (month from the sale)</t>
        </is>
      </c>
      <c r="C5" s="27" t="n"/>
      <c r="D5" s="27" t="n"/>
      <c r="E5" s="27" t="n"/>
      <c r="F5" s="27" t="n"/>
      <c r="G5" s="27" t="n"/>
      <c r="H5" s="27" t="n"/>
      <c r="I5" s="27" t="n"/>
      <c r="J5" s="27" t="n"/>
      <c r="K5" s="27" t="n"/>
      <c r="L5" s="27" t="n"/>
      <c r="M5" s="27" t="n"/>
      <c r="N5" s="27" t="n"/>
      <c r="O5" s="27" t="n"/>
      <c r="P5" s="27" t="n"/>
    </row>
    <row r="6" ht="44" customHeight="1">
      <c r="B6" s="15" t="inlineStr">
        <is>
          <t>Class</t>
        </is>
      </c>
      <c r="C6" s="16" t="inlineStr">
        <is>
          <t>Sold</t>
        </is>
      </c>
      <c r="D6" s="16" t="inlineStr">
        <is>
          <t>Redeemed month 1</t>
        </is>
      </c>
      <c r="E6" s="16" t="inlineStr">
        <is>
          <t>Redeemed month 2</t>
        </is>
      </c>
      <c r="F6" s="16" t="inlineStr">
        <is>
          <t>Redeemed month 3</t>
        </is>
      </c>
      <c r="G6" s="16" t="inlineStr">
        <is>
          <t>Redeemed month 4 to 6</t>
        </is>
      </c>
      <c r="H6" s="16" t="inlineStr">
        <is>
          <t>Redeemed month 7 to 9</t>
        </is>
      </c>
      <c r="I6" s="16" t="inlineStr">
        <is>
          <t>Redeemed month 10 to 12</t>
        </is>
      </c>
      <c r="J6" s="16" t="inlineStr">
        <is>
          <t>Redeemed month 13 to 18</t>
        </is>
      </c>
      <c r="K6" s="16" t="inlineStr">
        <is>
          <t>Redeemed month 19 to 24</t>
        </is>
      </c>
      <c r="L6" s="16" t="inlineStr">
        <is>
          <t>Outstanding at 24</t>
        </is>
      </c>
      <c r="M6" s="16" t="inlineStr">
        <is>
          <t>Redeemed after application</t>
        </is>
      </c>
      <c r="N6" s="16" t="inlineStr">
        <is>
          <t>Paid at the deed sale</t>
        </is>
      </c>
      <c r="O6" s="16" t="inlineStr">
        <is>
          <t>Taken by the holder</t>
        </is>
      </c>
      <c r="P6" s="16" t="inlineStr">
        <is>
          <t>Written off</t>
        </is>
      </c>
    </row>
    <row r="7">
      <c r="B7" s="18" t="n"/>
      <c r="C7" s="28" t="n"/>
      <c r="D7" s="28" t="n"/>
      <c r="E7" s="28" t="n"/>
      <c r="F7" s="28" t="n"/>
      <c r="G7" s="28" t="n"/>
      <c r="H7" s="28" t="n"/>
      <c r="I7" s="28" t="n"/>
      <c r="J7" s="28" t="n"/>
      <c r="K7" s="28" t="n"/>
      <c r="L7" s="29">
        <f>IF(C7="","",C7-SUM(D7:K7))</f>
        <v/>
      </c>
      <c r="M7" s="28" t="n"/>
      <c r="N7" s="28" t="n"/>
      <c r="O7" s="28" t="n"/>
      <c r="P7" s="28" t="n"/>
    </row>
    <row r="8">
      <c r="B8" s="18" t="n"/>
      <c r="C8" s="28" t="n"/>
      <c r="D8" s="28" t="n"/>
      <c r="E8" s="28" t="n"/>
      <c r="F8" s="28" t="n"/>
      <c r="G8" s="28" t="n"/>
      <c r="H8" s="28" t="n"/>
      <c r="I8" s="28" t="n"/>
      <c r="J8" s="28" t="n"/>
      <c r="K8" s="28" t="n"/>
      <c r="L8" s="29">
        <f>IF(C8="","",C8-SUM(D8:K8))</f>
        <v/>
      </c>
      <c r="M8" s="28" t="n"/>
      <c r="N8" s="28" t="n"/>
      <c r="O8" s="28" t="n"/>
      <c r="P8" s="28" t="n"/>
    </row>
    <row r="9">
      <c r="B9" s="18" t="n"/>
      <c r="C9" s="28" t="n"/>
      <c r="D9" s="28" t="n"/>
      <c r="E9" s="28" t="n"/>
      <c r="F9" s="28" t="n"/>
      <c r="G9" s="28" t="n"/>
      <c r="H9" s="28" t="n"/>
      <c r="I9" s="28" t="n"/>
      <c r="J9" s="28" t="n"/>
      <c r="K9" s="28" t="n"/>
      <c r="L9" s="29">
        <f>IF(C9="","",C9-SUM(D9:K9))</f>
        <v/>
      </c>
      <c r="M9" s="28" t="n"/>
      <c r="N9" s="28" t="n"/>
      <c r="O9" s="28" t="n"/>
      <c r="P9" s="28" t="n"/>
    </row>
    <row r="10">
      <c r="B10" s="18" t="n"/>
      <c r="C10" s="28" t="n"/>
      <c r="D10" s="28" t="n"/>
      <c r="E10" s="28" t="n"/>
      <c r="F10" s="28" t="n"/>
      <c r="G10" s="28" t="n"/>
      <c r="H10" s="28" t="n"/>
      <c r="I10" s="28" t="n"/>
      <c r="J10" s="28" t="n"/>
      <c r="K10" s="28" t="n"/>
      <c r="L10" s="29">
        <f>IF(C10="","",C10-SUM(D10:K10))</f>
        <v/>
      </c>
      <c r="M10" s="28" t="n"/>
      <c r="N10" s="28" t="n"/>
      <c r="O10" s="28" t="n"/>
      <c r="P10" s="28" t="n"/>
    </row>
    <row r="11">
      <c r="B11" s="18" t="n"/>
      <c r="C11" s="28" t="n"/>
      <c r="D11" s="28" t="n"/>
      <c r="E11" s="28" t="n"/>
      <c r="F11" s="28" t="n"/>
      <c r="G11" s="28" t="n"/>
      <c r="H11" s="28" t="n"/>
      <c r="I11" s="28" t="n"/>
      <c r="J11" s="28" t="n"/>
      <c r="K11" s="28" t="n"/>
      <c r="L11" s="29">
        <f>IF(C11="","",C11-SUM(D11:K11))</f>
        <v/>
      </c>
      <c r="M11" s="28" t="n"/>
      <c r="N11" s="28" t="n"/>
      <c r="O11" s="28" t="n"/>
      <c r="P11" s="28" t="n"/>
    </row>
    <row r="12">
      <c r="B12" s="18" t="n"/>
      <c r="C12" s="28" t="n"/>
      <c r="D12" s="28" t="n"/>
      <c r="E12" s="28" t="n"/>
      <c r="F12" s="28" t="n"/>
      <c r="G12" s="28" t="n"/>
      <c r="H12" s="28" t="n"/>
      <c r="I12" s="28" t="n"/>
      <c r="J12" s="28" t="n"/>
      <c r="K12" s="28" t="n"/>
      <c r="L12" s="29">
        <f>IF(C12="","",C12-SUM(D12:K12))</f>
        <v/>
      </c>
      <c r="M12" s="28" t="n"/>
      <c r="N12" s="28" t="n"/>
      <c r="O12" s="28" t="n"/>
      <c r="P12" s="28" t="n"/>
    </row>
    <row r="13">
      <c r="B13" s="18" t="n"/>
      <c r="C13" s="28" t="n"/>
      <c r="D13" s="28" t="n"/>
      <c r="E13" s="28" t="n"/>
      <c r="F13" s="28" t="n"/>
      <c r="G13" s="28" t="n"/>
      <c r="H13" s="28" t="n"/>
      <c r="I13" s="28" t="n"/>
      <c r="J13" s="28" t="n"/>
      <c r="K13" s="28" t="n"/>
      <c r="L13" s="29">
        <f>IF(C13="","",C13-SUM(D13:K13))</f>
        <v/>
      </c>
      <c r="M13" s="28" t="n"/>
      <c r="N13" s="28" t="n"/>
      <c r="O13" s="28" t="n"/>
      <c r="P13" s="28" t="n"/>
    </row>
    <row r="14">
      <c r="B14" s="18" t="n"/>
      <c r="C14" s="28" t="n"/>
      <c r="D14" s="28" t="n"/>
      <c r="E14" s="28" t="n"/>
      <c r="F14" s="28" t="n"/>
      <c r="G14" s="28" t="n"/>
      <c r="H14" s="28" t="n"/>
      <c r="I14" s="28" t="n"/>
      <c r="J14" s="28" t="n"/>
      <c r="K14" s="28" t="n"/>
      <c r="L14" s="29">
        <f>IF(C14="","",C14-SUM(D14:K14))</f>
        <v/>
      </c>
      <c r="M14" s="28" t="n"/>
      <c r="N14" s="28" t="n"/>
      <c r="O14" s="28" t="n"/>
      <c r="P14" s="28" t="n"/>
    </row>
    <row r="16">
      <c r="B16" s="26" t="inlineStr">
        <is>
          <t>Results: the shares the book's model uses</t>
        </is>
      </c>
      <c r="C16" s="27" t="n"/>
      <c r="D16" s="27" t="n"/>
      <c r="E16" s="27" t="n"/>
      <c r="F16" s="27" t="n"/>
      <c r="G16" s="27" t="n"/>
      <c r="H16" s="27" t="n"/>
      <c r="I16" s="27" t="n"/>
      <c r="J16" s="27" t="n"/>
      <c r="K16" s="27" t="n"/>
      <c r="L16" s="27" t="n"/>
      <c r="M16" s="27" t="n"/>
      <c r="N16" s="27" t="n"/>
      <c r="O16" s="27" t="n"/>
      <c r="P16" s="27" t="n"/>
    </row>
    <row r="17" ht="44" customHeight="1">
      <c r="B17" s="30" t="inlineStr">
        <is>
          <t>Class</t>
        </is>
      </c>
      <c r="C17" s="16" t="inlineStr">
        <is>
          <t>R24</t>
        </is>
      </c>
      <c r="D17" s="16" t="inlineStr">
        <is>
          <t>By month 1</t>
        </is>
      </c>
      <c r="E17" s="16" t="inlineStr">
        <is>
          <t>By month 2</t>
        </is>
      </c>
      <c r="F17" s="16" t="inlineStr">
        <is>
          <t>By month 3</t>
        </is>
      </c>
      <c r="G17" s="16" t="inlineStr">
        <is>
          <t>By month 6</t>
        </is>
      </c>
      <c r="H17" s="16" t="inlineStr">
        <is>
          <t>By month 9</t>
        </is>
      </c>
      <c r="I17" s="16" t="inlineStr">
        <is>
          <t>By month 12</t>
        </is>
      </c>
      <c r="J17" s="16" t="inlineStr">
        <is>
          <t>By month 18</t>
        </is>
      </c>
      <c r="K17" s="16" t="inlineStr">
        <is>
          <t>By month 24</t>
        </is>
      </c>
      <c r="L17" s="16" t="inlineStr">
        <is>
          <t>Rapp</t>
        </is>
      </c>
      <c r="M17" s="16" t="inlineStr">
        <is>
          <t>Pout</t>
        </is>
      </c>
      <c r="N17" s="16" t="inlineStr">
        <is>
          <t>REC</t>
        </is>
      </c>
      <c r="O17" s="16" t="inlineStr">
        <is>
          <t>Unaccounted at 24</t>
        </is>
      </c>
      <c r="P17" s="16" t="inlineStr">
        <is>
          <t>Check</t>
        </is>
      </c>
    </row>
    <row r="18">
      <c r="B18" s="25">
        <f>IF(B7="","",B7)</f>
        <v/>
      </c>
      <c r="C18" s="20">
        <f>IF(N(C7)=0,"",SUM(D7:K7)/C7)</f>
        <v/>
      </c>
      <c r="D18" s="31">
        <f>IF(N(SUM($D7:$K7))=0,"",SUM($D7:D7)/SUM($D7:$K7))</f>
        <v/>
      </c>
      <c r="E18" s="31">
        <f>IF(N(SUM($D7:$K7))=0,"",SUM($D7:E7)/SUM($D7:$K7))</f>
        <v/>
      </c>
      <c r="F18" s="31">
        <f>IF(N(SUM($D7:$K7))=0,"",SUM($D7:F7)/SUM($D7:$K7))</f>
        <v/>
      </c>
      <c r="G18" s="31">
        <f>IF(N(SUM($D7:$K7))=0,"",SUM($D7:G7)/SUM($D7:$K7))</f>
        <v/>
      </c>
      <c r="H18" s="31">
        <f>IF(N(SUM($D7:$K7))=0,"",SUM($D7:H7)/SUM($D7:$K7))</f>
        <v/>
      </c>
      <c r="I18" s="31">
        <f>IF(N(SUM($D7:$K7))=0,"",SUM($D7:I7)/SUM($D7:$K7))</f>
        <v/>
      </c>
      <c r="J18" s="31">
        <f>IF(N(SUM($D7:$K7))=0,"",SUM($D7:J7)/SUM($D7:$K7))</f>
        <v/>
      </c>
      <c r="K18" s="31">
        <f>IF(N(SUM($D7:$K7))=0,"",SUM($D7:K7)/SUM($D7:$K7))</f>
        <v/>
      </c>
      <c r="L18" s="20">
        <f>IF(N(L7)&lt;=0,"",M7/L7)</f>
        <v/>
      </c>
      <c r="M18" s="20">
        <f>IF(N(L7)-N(M7)&lt;=0,"",N7/(L7-M7))</f>
        <v/>
      </c>
      <c r="N18" s="32" t="n"/>
      <c r="O18" s="29">
        <f>IF(L7="","",L7-N(M7)-N(N7)-N(O7)-N(P7))</f>
        <v/>
      </c>
      <c r="P18" s="25">
        <f>IF(C7="","",IF(AND(N(L7)&gt;=-1E-6,N(O18)&gt;=-1E-6),"OK","counts exceed sold"))</f>
        <v/>
      </c>
    </row>
    <row r="19">
      <c r="B19" s="25">
        <f>IF(B8="","",B8)</f>
        <v/>
      </c>
      <c r="C19" s="20">
        <f>IF(N(C8)=0,"",SUM(D8:K8)/C8)</f>
        <v/>
      </c>
      <c r="D19" s="31">
        <f>IF(N(SUM($D8:$K8))=0,"",SUM($D8:D8)/SUM($D8:$K8))</f>
        <v/>
      </c>
      <c r="E19" s="31">
        <f>IF(N(SUM($D8:$K8))=0,"",SUM($D8:E8)/SUM($D8:$K8))</f>
        <v/>
      </c>
      <c r="F19" s="31">
        <f>IF(N(SUM($D8:$K8))=0,"",SUM($D8:F8)/SUM($D8:$K8))</f>
        <v/>
      </c>
      <c r="G19" s="31">
        <f>IF(N(SUM($D8:$K8))=0,"",SUM($D8:G8)/SUM($D8:$K8))</f>
        <v/>
      </c>
      <c r="H19" s="31">
        <f>IF(N(SUM($D8:$K8))=0,"",SUM($D8:H8)/SUM($D8:$K8))</f>
        <v/>
      </c>
      <c r="I19" s="31">
        <f>IF(N(SUM($D8:$K8))=0,"",SUM($D8:I8)/SUM($D8:$K8))</f>
        <v/>
      </c>
      <c r="J19" s="31">
        <f>IF(N(SUM($D8:$K8))=0,"",SUM($D8:J8)/SUM($D8:$K8))</f>
        <v/>
      </c>
      <c r="K19" s="31">
        <f>IF(N(SUM($D8:$K8))=0,"",SUM($D8:K8)/SUM($D8:$K8))</f>
        <v/>
      </c>
      <c r="L19" s="20">
        <f>IF(N(L8)&lt;=0,"",M8/L8)</f>
        <v/>
      </c>
      <c r="M19" s="20">
        <f>IF(N(L8)-N(M8)&lt;=0,"",N8/(L8-M8))</f>
        <v/>
      </c>
      <c r="N19" s="32" t="n"/>
      <c r="O19" s="29">
        <f>IF(L8="","",L8-N(M8)-N(N8)-N(O8)-N(P8))</f>
        <v/>
      </c>
      <c r="P19" s="25">
        <f>IF(C8="","",IF(AND(N(L8)&gt;=-1E-6,N(O19)&gt;=-1E-6),"OK","counts exceed sold"))</f>
        <v/>
      </c>
    </row>
    <row r="20">
      <c r="B20" s="25">
        <f>IF(B9="","",B9)</f>
        <v/>
      </c>
      <c r="C20" s="20">
        <f>IF(N(C9)=0,"",SUM(D9:K9)/C9)</f>
        <v/>
      </c>
      <c r="D20" s="31">
        <f>IF(N(SUM($D9:$K9))=0,"",SUM($D9:D9)/SUM($D9:$K9))</f>
        <v/>
      </c>
      <c r="E20" s="31">
        <f>IF(N(SUM($D9:$K9))=0,"",SUM($D9:E9)/SUM($D9:$K9))</f>
        <v/>
      </c>
      <c r="F20" s="31">
        <f>IF(N(SUM($D9:$K9))=0,"",SUM($D9:F9)/SUM($D9:$K9))</f>
        <v/>
      </c>
      <c r="G20" s="31">
        <f>IF(N(SUM($D9:$K9))=0,"",SUM($D9:G9)/SUM($D9:$K9))</f>
        <v/>
      </c>
      <c r="H20" s="31">
        <f>IF(N(SUM($D9:$K9))=0,"",SUM($D9:H9)/SUM($D9:$K9))</f>
        <v/>
      </c>
      <c r="I20" s="31">
        <f>IF(N(SUM($D9:$K9))=0,"",SUM($D9:I9)/SUM($D9:$K9))</f>
        <v/>
      </c>
      <c r="J20" s="31">
        <f>IF(N(SUM($D9:$K9))=0,"",SUM($D9:J9)/SUM($D9:$K9))</f>
        <v/>
      </c>
      <c r="K20" s="31">
        <f>IF(N(SUM($D9:$K9))=0,"",SUM($D9:K9)/SUM($D9:$K9))</f>
        <v/>
      </c>
      <c r="L20" s="20">
        <f>IF(N(L9)&lt;=0,"",M9/L9)</f>
        <v/>
      </c>
      <c r="M20" s="20">
        <f>IF(N(L9)-N(M9)&lt;=0,"",N9/(L9-M9))</f>
        <v/>
      </c>
      <c r="N20" s="32" t="n"/>
      <c r="O20" s="29">
        <f>IF(L9="","",L9-N(M9)-N(N9)-N(O9)-N(P9))</f>
        <v/>
      </c>
      <c r="P20" s="25">
        <f>IF(C9="","",IF(AND(N(L9)&gt;=-1E-6,N(O20)&gt;=-1E-6),"OK","counts exceed sold"))</f>
        <v/>
      </c>
    </row>
    <row r="21">
      <c r="B21" s="25">
        <f>IF(B10="","",B10)</f>
        <v/>
      </c>
      <c r="C21" s="20">
        <f>IF(N(C10)=0,"",SUM(D10:K10)/C10)</f>
        <v/>
      </c>
      <c r="D21" s="31">
        <f>IF(N(SUM($D10:$K10))=0,"",SUM($D10:D10)/SUM($D10:$K10))</f>
        <v/>
      </c>
      <c r="E21" s="31">
        <f>IF(N(SUM($D10:$K10))=0,"",SUM($D10:E10)/SUM($D10:$K10))</f>
        <v/>
      </c>
      <c r="F21" s="31">
        <f>IF(N(SUM($D10:$K10))=0,"",SUM($D10:F10)/SUM($D10:$K10))</f>
        <v/>
      </c>
      <c r="G21" s="31">
        <f>IF(N(SUM($D10:$K10))=0,"",SUM($D10:G10)/SUM($D10:$K10))</f>
        <v/>
      </c>
      <c r="H21" s="31">
        <f>IF(N(SUM($D10:$K10))=0,"",SUM($D10:H10)/SUM($D10:$K10))</f>
        <v/>
      </c>
      <c r="I21" s="31">
        <f>IF(N(SUM($D10:$K10))=0,"",SUM($D10:I10)/SUM($D10:$K10))</f>
        <v/>
      </c>
      <c r="J21" s="31">
        <f>IF(N(SUM($D10:$K10))=0,"",SUM($D10:J10)/SUM($D10:$K10))</f>
        <v/>
      </c>
      <c r="K21" s="31">
        <f>IF(N(SUM($D10:$K10))=0,"",SUM($D10:K10)/SUM($D10:$K10))</f>
        <v/>
      </c>
      <c r="L21" s="20">
        <f>IF(N(L10)&lt;=0,"",M10/L10)</f>
        <v/>
      </c>
      <c r="M21" s="20">
        <f>IF(N(L10)-N(M10)&lt;=0,"",N10/(L10-M10))</f>
        <v/>
      </c>
      <c r="N21" s="32" t="n"/>
      <c r="O21" s="29">
        <f>IF(L10="","",L10-N(M10)-N(N10)-N(O10)-N(P10))</f>
        <v/>
      </c>
      <c r="P21" s="25">
        <f>IF(C10="","",IF(AND(N(L10)&gt;=-1E-6,N(O21)&gt;=-1E-6),"OK","counts exceed sold"))</f>
        <v/>
      </c>
    </row>
    <row r="22">
      <c r="B22" s="25">
        <f>IF(B11="","",B11)</f>
        <v/>
      </c>
      <c r="C22" s="20">
        <f>IF(N(C11)=0,"",SUM(D11:K11)/C11)</f>
        <v/>
      </c>
      <c r="D22" s="31">
        <f>IF(N(SUM($D11:$K11))=0,"",SUM($D11:D11)/SUM($D11:$K11))</f>
        <v/>
      </c>
      <c r="E22" s="31">
        <f>IF(N(SUM($D11:$K11))=0,"",SUM($D11:E11)/SUM($D11:$K11))</f>
        <v/>
      </c>
      <c r="F22" s="31">
        <f>IF(N(SUM($D11:$K11))=0,"",SUM($D11:F11)/SUM($D11:$K11))</f>
        <v/>
      </c>
      <c r="G22" s="31">
        <f>IF(N(SUM($D11:$K11))=0,"",SUM($D11:G11)/SUM($D11:$K11))</f>
        <v/>
      </c>
      <c r="H22" s="31">
        <f>IF(N(SUM($D11:$K11))=0,"",SUM($D11:H11)/SUM($D11:$K11))</f>
        <v/>
      </c>
      <c r="I22" s="31">
        <f>IF(N(SUM($D11:$K11))=0,"",SUM($D11:I11)/SUM($D11:$K11))</f>
        <v/>
      </c>
      <c r="J22" s="31">
        <f>IF(N(SUM($D11:$K11))=0,"",SUM($D11:J11)/SUM($D11:$K11))</f>
        <v/>
      </c>
      <c r="K22" s="31">
        <f>IF(N(SUM($D11:$K11))=0,"",SUM($D11:K11)/SUM($D11:$K11))</f>
        <v/>
      </c>
      <c r="L22" s="20">
        <f>IF(N(L11)&lt;=0,"",M11/L11)</f>
        <v/>
      </c>
      <c r="M22" s="20">
        <f>IF(N(L11)-N(M11)&lt;=0,"",N11/(L11-M11))</f>
        <v/>
      </c>
      <c r="N22" s="32" t="n"/>
      <c r="O22" s="29">
        <f>IF(L11="","",L11-N(M11)-N(N11)-N(O11)-N(P11))</f>
        <v/>
      </c>
      <c r="P22" s="25">
        <f>IF(C11="","",IF(AND(N(L11)&gt;=-1E-6,N(O22)&gt;=-1E-6),"OK","counts exceed sold"))</f>
        <v/>
      </c>
    </row>
    <row r="23">
      <c r="B23" s="25">
        <f>IF(B12="","",B12)</f>
        <v/>
      </c>
      <c r="C23" s="20">
        <f>IF(N(C12)=0,"",SUM(D12:K12)/C12)</f>
        <v/>
      </c>
      <c r="D23" s="31">
        <f>IF(N(SUM($D12:$K12))=0,"",SUM($D12:D12)/SUM($D12:$K12))</f>
        <v/>
      </c>
      <c r="E23" s="31">
        <f>IF(N(SUM($D12:$K12))=0,"",SUM($D12:E12)/SUM($D12:$K12))</f>
        <v/>
      </c>
      <c r="F23" s="31">
        <f>IF(N(SUM($D12:$K12))=0,"",SUM($D12:F12)/SUM($D12:$K12))</f>
        <v/>
      </c>
      <c r="G23" s="31">
        <f>IF(N(SUM($D12:$K12))=0,"",SUM($D12:G12)/SUM($D12:$K12))</f>
        <v/>
      </c>
      <c r="H23" s="31">
        <f>IF(N(SUM($D12:$K12))=0,"",SUM($D12:H12)/SUM($D12:$K12))</f>
        <v/>
      </c>
      <c r="I23" s="31">
        <f>IF(N(SUM($D12:$K12))=0,"",SUM($D12:I12)/SUM($D12:$K12))</f>
        <v/>
      </c>
      <c r="J23" s="31">
        <f>IF(N(SUM($D12:$K12))=0,"",SUM($D12:J12)/SUM($D12:$K12))</f>
        <v/>
      </c>
      <c r="K23" s="31">
        <f>IF(N(SUM($D12:$K12))=0,"",SUM($D12:K12)/SUM($D12:$K12))</f>
        <v/>
      </c>
      <c r="L23" s="20">
        <f>IF(N(L12)&lt;=0,"",M12/L12)</f>
        <v/>
      </c>
      <c r="M23" s="20">
        <f>IF(N(L12)-N(M12)&lt;=0,"",N12/(L12-M12))</f>
        <v/>
      </c>
      <c r="N23" s="32" t="n"/>
      <c r="O23" s="29">
        <f>IF(L12="","",L12-N(M12)-N(N12)-N(O12)-N(P12))</f>
        <v/>
      </c>
      <c r="P23" s="25">
        <f>IF(C12="","",IF(AND(N(L12)&gt;=-1E-6,N(O23)&gt;=-1E-6),"OK","counts exceed sold"))</f>
        <v/>
      </c>
    </row>
    <row r="24">
      <c r="B24" s="25">
        <f>IF(B13="","",B13)</f>
        <v/>
      </c>
      <c r="C24" s="20">
        <f>IF(N(C13)=0,"",SUM(D13:K13)/C13)</f>
        <v/>
      </c>
      <c r="D24" s="31">
        <f>IF(N(SUM($D13:$K13))=0,"",SUM($D13:D13)/SUM($D13:$K13))</f>
        <v/>
      </c>
      <c r="E24" s="31">
        <f>IF(N(SUM($D13:$K13))=0,"",SUM($D13:E13)/SUM($D13:$K13))</f>
        <v/>
      </c>
      <c r="F24" s="31">
        <f>IF(N(SUM($D13:$K13))=0,"",SUM($D13:F13)/SUM($D13:$K13))</f>
        <v/>
      </c>
      <c r="G24" s="31">
        <f>IF(N(SUM($D13:$K13))=0,"",SUM($D13:G13)/SUM($D13:$K13))</f>
        <v/>
      </c>
      <c r="H24" s="31">
        <f>IF(N(SUM($D13:$K13))=0,"",SUM($D13:H13)/SUM($D13:$K13))</f>
        <v/>
      </c>
      <c r="I24" s="31">
        <f>IF(N(SUM($D13:$K13))=0,"",SUM($D13:I13)/SUM($D13:$K13))</f>
        <v/>
      </c>
      <c r="J24" s="31">
        <f>IF(N(SUM($D13:$K13))=0,"",SUM($D13:J13)/SUM($D13:$K13))</f>
        <v/>
      </c>
      <c r="K24" s="31">
        <f>IF(N(SUM($D13:$K13))=0,"",SUM($D13:K13)/SUM($D13:$K13))</f>
        <v/>
      </c>
      <c r="L24" s="20">
        <f>IF(N(L13)&lt;=0,"",M13/L13)</f>
        <v/>
      </c>
      <c r="M24" s="20">
        <f>IF(N(L13)-N(M13)&lt;=0,"",N13/(L13-M13))</f>
        <v/>
      </c>
      <c r="N24" s="32" t="n"/>
      <c r="O24" s="29">
        <f>IF(L13="","",L13-N(M13)-N(N13)-N(O13)-N(P13))</f>
        <v/>
      </c>
      <c r="P24" s="25">
        <f>IF(C13="","",IF(AND(N(L13)&gt;=-1E-6,N(O24)&gt;=-1E-6),"OK","counts exceed sold"))</f>
        <v/>
      </c>
    </row>
    <row r="25">
      <c r="B25" s="25">
        <f>IF(B14="","",B14)</f>
        <v/>
      </c>
      <c r="C25" s="20">
        <f>IF(N(C14)=0,"",SUM(D14:K14)/C14)</f>
        <v/>
      </c>
      <c r="D25" s="31">
        <f>IF(N(SUM($D14:$K14))=0,"",SUM($D14:D14)/SUM($D14:$K14))</f>
        <v/>
      </c>
      <c r="E25" s="31">
        <f>IF(N(SUM($D14:$K14))=0,"",SUM($D14:E14)/SUM($D14:$K14))</f>
        <v/>
      </c>
      <c r="F25" s="31">
        <f>IF(N(SUM($D14:$K14))=0,"",SUM($D14:F14)/SUM($D14:$K14))</f>
        <v/>
      </c>
      <c r="G25" s="31">
        <f>IF(N(SUM($D14:$K14))=0,"",SUM($D14:G14)/SUM($D14:$K14))</f>
        <v/>
      </c>
      <c r="H25" s="31">
        <f>IF(N(SUM($D14:$K14))=0,"",SUM($D14:H14)/SUM($D14:$K14))</f>
        <v/>
      </c>
      <c r="I25" s="31">
        <f>IF(N(SUM($D14:$K14))=0,"",SUM($D14:I14)/SUM($D14:$K14))</f>
        <v/>
      </c>
      <c r="J25" s="31">
        <f>IF(N(SUM($D14:$K14))=0,"",SUM($D14:J14)/SUM($D14:$K14))</f>
        <v/>
      </c>
      <c r="K25" s="31">
        <f>IF(N(SUM($D14:$K14))=0,"",SUM($D14:K14)/SUM($D14:$K14))</f>
        <v/>
      </c>
      <c r="L25" s="20">
        <f>IF(N(L14)&lt;=0,"",M14/L14)</f>
        <v/>
      </c>
      <c r="M25" s="20">
        <f>IF(N(L14)-N(M14)&lt;=0,"",N14/(L14-M14))</f>
        <v/>
      </c>
      <c r="N25" s="32" t="n"/>
      <c r="O25" s="29">
        <f>IF(L14="","",L14-N(M14)-N(N14)-N(O14)-N(P14))</f>
        <v/>
      </c>
      <c r="P25" s="25">
        <f>IF(C14="","",IF(AND(N(L14)&gt;=-1E-6,N(O25)&gt;=-1E-6),"OK","counts exceed sold"))</f>
        <v/>
      </c>
    </row>
    <row r="27">
      <c r="B27" s="6" t="inlineStr">
        <is>
          <t>R24: share redeemed by month 24. Rapp: of those outstanding at 24, share redeemed after the deed application. Pout: of the rest, share paid out by a third party at the deed sale. REC (an input): what a parcel you take is expected to return on resale, as a share of all your cash in it. The cumulative columns give the timing shape of Chapter 4.</t>
        </is>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R49"/>
  <sheetViews>
    <sheetView showGridLines="0" workbookViewId="0">
      <selection activeCell="A1" sqref="A1"/>
    </sheetView>
  </sheetViews>
  <sheetFormatPr baseColWidth="8" defaultRowHeight="15"/>
  <cols>
    <col width="2" customWidth="1" min="1" max="1"/>
    <col width="9"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3" customWidth="1" min="15" max="15"/>
    <col width="11" customWidth="1" min="16" max="16"/>
    <col width="14" customWidth="1" min="17" max="17"/>
    <col width="14" customWidth="1" min="18" max="18"/>
  </cols>
  <sheetData>
    <row r="1" ht="6" customHeight="1"/>
    <row r="2">
      <c r="B2" s="5" t="inlineStr">
        <is>
          <t>The portfolio cash calendar: month by month from the sale (Chapters 12 and 15)</t>
        </is>
      </c>
    </row>
    <row r="3">
      <c r="B3" s="6" t="inlineStr">
        <is>
          <t>Enter amounts as positive numbers; the sheet signs them. Month 0 is sale day. Quarter q holds months 3q - 2 to 3q.</t>
        </is>
      </c>
    </row>
    <row r="5">
      <c r="B5" s="9" t="inlineStr">
        <is>
          <t>Total outlays</t>
        </is>
      </c>
      <c r="C5" s="33" t="n"/>
      <c r="D5" s="22">
        <f>SUM(C12:F49)</f>
        <v/>
      </c>
      <c r="F5" s="9" t="inlineStr">
        <is>
          <t>Dollar-months committed</t>
        </is>
      </c>
      <c r="H5" s="29">
        <f>SUM(M12:M49)</f>
        <v/>
      </c>
    </row>
    <row r="6">
      <c r="B6" s="9" t="inlineStr">
        <is>
          <t>Total inflows</t>
        </is>
      </c>
      <c r="C6" s="33" t="n"/>
      <c r="D6" s="22">
        <f>SUM(G12:J49)</f>
        <v/>
      </c>
      <c r="F6" s="9" t="inlineStr">
        <is>
          <t>Average months the month-0 dollar stays out</t>
        </is>
      </c>
      <c r="H6" s="34">
        <f>IF(N(C12)=0,"",H5/C12)</f>
        <v/>
      </c>
    </row>
    <row r="7">
      <c r="B7" s="9" t="inlineStr">
        <is>
          <t>Profit: inflows less outlays</t>
        </is>
      </c>
      <c r="C7" s="33" t="n"/>
      <c r="D7" s="22">
        <f>D6-D5</f>
        <v/>
      </c>
    </row>
    <row r="8">
      <c r="B8" s="9" t="inlineStr">
        <is>
          <t>Peak capital committed</t>
        </is>
      </c>
      <c r="C8" s="33" t="n"/>
      <c r="D8" s="22">
        <f>MAX(M12:M49)</f>
        <v/>
      </c>
    </row>
    <row r="9">
      <c r="B9" s="9" t="inlineStr">
        <is>
          <t>IRR a year: (1 + monthly IRR)^12 - 1</t>
        </is>
      </c>
      <c r="C9" s="33" t="n"/>
      <c r="D9" s="35">
        <f>IF(OR(COUNTIF(K12:K49,"&gt;0")=0,COUNTIF(K12:K49,"&lt;0")=0),"",IFERROR((1+IRR(K12:K49,0.005))^12-1,""))</f>
        <v/>
      </c>
    </row>
    <row r="11" ht="44" customHeight="1">
      <c r="B11" s="15" t="inlineStr">
        <is>
          <t>Month</t>
        </is>
      </c>
      <c r="C11" s="16" t="inlineStr">
        <is>
          <t>Certificates bought: face plus fees</t>
        </is>
      </c>
      <c r="D11" s="16" t="inlineStr">
        <is>
          <t>Subsequent taxes paid</t>
        </is>
      </c>
      <c r="E11" s="16" t="inlineStr">
        <is>
          <t>Deed applications</t>
        </is>
      </c>
      <c r="F11" s="16" t="inlineStr">
        <is>
          <t>Other outlays</t>
        </is>
      </c>
      <c r="G11" s="16" t="inlineStr">
        <is>
          <t>Redemptions received</t>
        </is>
      </c>
      <c r="H11" s="16" t="inlineStr">
        <is>
          <t>Deed sale proceeds</t>
        </is>
      </c>
      <c r="I11" s="16" t="inlineStr">
        <is>
          <t>Resale proceeds</t>
        </is>
      </c>
      <c r="J11" s="16" t="inlineStr">
        <is>
          <t>Other receipts</t>
        </is>
      </c>
      <c r="K11" s="16" t="inlineStr">
        <is>
          <t>Net flow</t>
        </is>
      </c>
      <c r="L11" s="16" t="inlineStr">
        <is>
          <t>Cumulative</t>
        </is>
      </c>
      <c r="M11" s="16" t="inlineStr">
        <is>
          <t>Capital outstanding</t>
        </is>
      </c>
      <c r="P11" s="15" t="inlineStr">
        <is>
          <t>Quarter</t>
        </is>
      </c>
      <c r="Q11" s="16" t="inlineStr">
        <is>
          <t>Net flow</t>
        </is>
      </c>
      <c r="R11" s="16" t="inlineStr">
        <is>
          <t>Cumulative</t>
        </is>
      </c>
    </row>
    <row r="12">
      <c r="B12" s="17" t="n">
        <v>0</v>
      </c>
      <c r="C12" s="28" t="n"/>
      <c r="D12" s="28" t="n"/>
      <c r="E12" s="28" t="n"/>
      <c r="F12" s="28" t="n"/>
      <c r="G12" s="28" t="n"/>
      <c r="H12" s="28" t="n"/>
      <c r="I12" s="28" t="n"/>
      <c r="J12" s="28" t="n"/>
      <c r="K12" s="29">
        <f>SUM(G12:J12)-SUM(C12:F12)</f>
        <v/>
      </c>
      <c r="L12" s="29">
        <f>K12</f>
        <v/>
      </c>
      <c r="M12" s="29">
        <f>MAX(0,-L12)</f>
        <v/>
      </c>
      <c r="P12" s="17" t="n">
        <v>0</v>
      </c>
      <c r="Q12" s="22">
        <f>K12</f>
        <v/>
      </c>
      <c r="R12" s="22">
        <f>Q12</f>
        <v/>
      </c>
    </row>
    <row r="13">
      <c r="B13" s="17" t="n">
        <v>1</v>
      </c>
      <c r="C13" s="28" t="n"/>
      <c r="D13" s="28" t="n"/>
      <c r="E13" s="28" t="n"/>
      <c r="F13" s="28" t="n"/>
      <c r="G13" s="28" t="n"/>
      <c r="H13" s="28" t="n"/>
      <c r="I13" s="28" t="n"/>
      <c r="J13" s="28" t="n"/>
      <c r="K13" s="29">
        <f>SUM(G13:J13)-SUM(C13:F13)</f>
        <v/>
      </c>
      <c r="L13" s="29">
        <f>L12+K13</f>
        <v/>
      </c>
      <c r="M13" s="29">
        <f>MAX(0,-L13)</f>
        <v/>
      </c>
      <c r="P13" s="17" t="n">
        <v>1</v>
      </c>
      <c r="Q13" s="22">
        <f>SUMPRODUCT(($B$12:$B$49&gt;=3*P13-2)*($B$12:$B$49&lt;=3*P13)*$K$12:$K$49)</f>
        <v/>
      </c>
      <c r="R13" s="22">
        <f>R12+Q13</f>
        <v/>
      </c>
    </row>
    <row r="14">
      <c r="B14" s="17" t="n">
        <v>2</v>
      </c>
      <c r="C14" s="28" t="n"/>
      <c r="D14" s="28" t="n"/>
      <c r="E14" s="28" t="n"/>
      <c r="F14" s="28" t="n"/>
      <c r="G14" s="28" t="n"/>
      <c r="H14" s="28" t="n"/>
      <c r="I14" s="28" t="n"/>
      <c r="J14" s="28" t="n"/>
      <c r="K14" s="29">
        <f>SUM(G14:J14)-SUM(C14:F14)</f>
        <v/>
      </c>
      <c r="L14" s="29">
        <f>L13+K14</f>
        <v/>
      </c>
      <c r="M14" s="29">
        <f>MAX(0,-L14)</f>
        <v/>
      </c>
      <c r="P14" s="17" t="n">
        <v>2</v>
      </c>
      <c r="Q14" s="22">
        <f>SUMPRODUCT(($B$12:$B$49&gt;=3*P14-2)*($B$12:$B$49&lt;=3*P14)*$K$12:$K$49)</f>
        <v/>
      </c>
      <c r="R14" s="22">
        <f>R13+Q14</f>
        <v/>
      </c>
    </row>
    <row r="15">
      <c r="B15" s="17" t="n">
        <v>3</v>
      </c>
      <c r="C15" s="28" t="n"/>
      <c r="D15" s="28" t="n"/>
      <c r="E15" s="28" t="n"/>
      <c r="F15" s="28" t="n"/>
      <c r="G15" s="28" t="n"/>
      <c r="H15" s="28" t="n"/>
      <c r="I15" s="28" t="n"/>
      <c r="J15" s="28" t="n"/>
      <c r="K15" s="29">
        <f>SUM(G15:J15)-SUM(C15:F15)</f>
        <v/>
      </c>
      <c r="L15" s="29">
        <f>L14+K15</f>
        <v/>
      </c>
      <c r="M15" s="29">
        <f>MAX(0,-L15)</f>
        <v/>
      </c>
      <c r="P15" s="17" t="n">
        <v>3</v>
      </c>
      <c r="Q15" s="22">
        <f>SUMPRODUCT(($B$12:$B$49&gt;=3*P15-2)*($B$12:$B$49&lt;=3*P15)*$K$12:$K$49)</f>
        <v/>
      </c>
      <c r="R15" s="22">
        <f>R14+Q15</f>
        <v/>
      </c>
    </row>
    <row r="16">
      <c r="B16" s="17" t="n">
        <v>4</v>
      </c>
      <c r="C16" s="28" t="n"/>
      <c r="D16" s="28" t="n"/>
      <c r="E16" s="28" t="n"/>
      <c r="F16" s="28" t="n"/>
      <c r="G16" s="28" t="n"/>
      <c r="H16" s="28" t="n"/>
      <c r="I16" s="28" t="n"/>
      <c r="J16" s="28" t="n"/>
      <c r="K16" s="29">
        <f>SUM(G16:J16)-SUM(C16:F16)</f>
        <v/>
      </c>
      <c r="L16" s="29">
        <f>L15+K16</f>
        <v/>
      </c>
      <c r="M16" s="29">
        <f>MAX(0,-L16)</f>
        <v/>
      </c>
      <c r="P16" s="17" t="n">
        <v>4</v>
      </c>
      <c r="Q16" s="22">
        <f>SUMPRODUCT(($B$12:$B$49&gt;=3*P16-2)*($B$12:$B$49&lt;=3*P16)*$K$12:$K$49)</f>
        <v/>
      </c>
      <c r="R16" s="22">
        <f>R15+Q16</f>
        <v/>
      </c>
    </row>
    <row r="17">
      <c r="B17" s="17" t="n">
        <v>5</v>
      </c>
      <c r="C17" s="28" t="n"/>
      <c r="D17" s="28" t="n"/>
      <c r="E17" s="28" t="n"/>
      <c r="F17" s="28" t="n"/>
      <c r="G17" s="28" t="n"/>
      <c r="H17" s="28" t="n"/>
      <c r="I17" s="28" t="n"/>
      <c r="J17" s="28" t="n"/>
      <c r="K17" s="29">
        <f>SUM(G17:J17)-SUM(C17:F17)</f>
        <v/>
      </c>
      <c r="L17" s="29">
        <f>L16+K17</f>
        <v/>
      </c>
      <c r="M17" s="29">
        <f>MAX(0,-L17)</f>
        <v/>
      </c>
      <c r="P17" s="17" t="n">
        <v>5</v>
      </c>
      <c r="Q17" s="22">
        <f>SUMPRODUCT(($B$12:$B$49&gt;=3*P17-2)*($B$12:$B$49&lt;=3*P17)*$K$12:$K$49)</f>
        <v/>
      </c>
      <c r="R17" s="22">
        <f>R16+Q17</f>
        <v/>
      </c>
    </row>
    <row r="18">
      <c r="B18" s="17" t="n">
        <v>6</v>
      </c>
      <c r="C18" s="28" t="n"/>
      <c r="D18" s="28" t="n"/>
      <c r="E18" s="28" t="n"/>
      <c r="F18" s="28" t="n"/>
      <c r="G18" s="28" t="n"/>
      <c r="H18" s="28" t="n"/>
      <c r="I18" s="28" t="n"/>
      <c r="J18" s="28" t="n"/>
      <c r="K18" s="29">
        <f>SUM(G18:J18)-SUM(C18:F18)</f>
        <v/>
      </c>
      <c r="L18" s="29">
        <f>L17+K18</f>
        <v/>
      </c>
      <c r="M18" s="29">
        <f>MAX(0,-L18)</f>
        <v/>
      </c>
      <c r="P18" s="17" t="n">
        <v>6</v>
      </c>
      <c r="Q18" s="22">
        <f>SUMPRODUCT(($B$12:$B$49&gt;=3*P18-2)*($B$12:$B$49&lt;=3*P18)*$K$12:$K$49)</f>
        <v/>
      </c>
      <c r="R18" s="22">
        <f>R17+Q18</f>
        <v/>
      </c>
    </row>
    <row r="19">
      <c r="B19" s="17" t="n">
        <v>7</v>
      </c>
      <c r="C19" s="28" t="n"/>
      <c r="D19" s="28" t="n"/>
      <c r="E19" s="28" t="n"/>
      <c r="F19" s="28" t="n"/>
      <c r="G19" s="28" t="n"/>
      <c r="H19" s="28" t="n"/>
      <c r="I19" s="28" t="n"/>
      <c r="J19" s="28" t="n"/>
      <c r="K19" s="29">
        <f>SUM(G19:J19)-SUM(C19:F19)</f>
        <v/>
      </c>
      <c r="L19" s="29">
        <f>L18+K19</f>
        <v/>
      </c>
      <c r="M19" s="29">
        <f>MAX(0,-L19)</f>
        <v/>
      </c>
      <c r="P19" s="17" t="n">
        <v>7</v>
      </c>
      <c r="Q19" s="22">
        <f>SUMPRODUCT(($B$12:$B$49&gt;=3*P19-2)*($B$12:$B$49&lt;=3*P19)*$K$12:$K$49)</f>
        <v/>
      </c>
      <c r="R19" s="22">
        <f>R18+Q19</f>
        <v/>
      </c>
    </row>
    <row r="20">
      <c r="B20" s="17" t="n">
        <v>8</v>
      </c>
      <c r="C20" s="28" t="n"/>
      <c r="D20" s="28" t="n"/>
      <c r="E20" s="28" t="n"/>
      <c r="F20" s="28" t="n"/>
      <c r="G20" s="28" t="n"/>
      <c r="H20" s="28" t="n"/>
      <c r="I20" s="28" t="n"/>
      <c r="J20" s="28" t="n"/>
      <c r="K20" s="29">
        <f>SUM(G20:J20)-SUM(C20:F20)</f>
        <v/>
      </c>
      <c r="L20" s="29">
        <f>L19+K20</f>
        <v/>
      </c>
      <c r="M20" s="29">
        <f>MAX(0,-L20)</f>
        <v/>
      </c>
      <c r="P20" s="17" t="n">
        <v>8</v>
      </c>
      <c r="Q20" s="22">
        <f>SUMPRODUCT(($B$12:$B$49&gt;=3*P20-2)*($B$12:$B$49&lt;=3*P20)*$K$12:$K$49)</f>
        <v/>
      </c>
      <c r="R20" s="22">
        <f>R19+Q20</f>
        <v/>
      </c>
    </row>
    <row r="21">
      <c r="B21" s="17" t="n">
        <v>9</v>
      </c>
      <c r="C21" s="28" t="n"/>
      <c r="D21" s="28" t="n"/>
      <c r="E21" s="28" t="n"/>
      <c r="F21" s="28" t="n"/>
      <c r="G21" s="28" t="n"/>
      <c r="H21" s="28" t="n"/>
      <c r="I21" s="28" t="n"/>
      <c r="J21" s="28" t="n"/>
      <c r="K21" s="29">
        <f>SUM(G21:J21)-SUM(C21:F21)</f>
        <v/>
      </c>
      <c r="L21" s="29">
        <f>L20+K21</f>
        <v/>
      </c>
      <c r="M21" s="29">
        <f>MAX(0,-L21)</f>
        <v/>
      </c>
      <c r="P21" s="17" t="n">
        <v>9</v>
      </c>
      <c r="Q21" s="22">
        <f>SUMPRODUCT(($B$12:$B$49&gt;=3*P21-2)*($B$12:$B$49&lt;=3*P21)*$K$12:$K$49)</f>
        <v/>
      </c>
      <c r="R21" s="22">
        <f>R20+Q21</f>
        <v/>
      </c>
    </row>
    <row r="22">
      <c r="B22" s="17" t="n">
        <v>10</v>
      </c>
      <c r="C22" s="28" t="n"/>
      <c r="D22" s="28" t="n"/>
      <c r="E22" s="28" t="n"/>
      <c r="F22" s="28" t="n"/>
      <c r="G22" s="28" t="n"/>
      <c r="H22" s="28" t="n"/>
      <c r="I22" s="28" t="n"/>
      <c r="J22" s="28" t="n"/>
      <c r="K22" s="29">
        <f>SUM(G22:J22)-SUM(C22:F22)</f>
        <v/>
      </c>
      <c r="L22" s="29">
        <f>L21+K22</f>
        <v/>
      </c>
      <c r="M22" s="29">
        <f>MAX(0,-L22)</f>
        <v/>
      </c>
      <c r="P22" s="17" t="n">
        <v>10</v>
      </c>
      <c r="Q22" s="22">
        <f>SUMPRODUCT(($B$12:$B$49&gt;=3*P22-2)*($B$12:$B$49&lt;=3*P22)*$K$12:$K$49)</f>
        <v/>
      </c>
      <c r="R22" s="22">
        <f>R21+Q22</f>
        <v/>
      </c>
    </row>
    <row r="23">
      <c r="B23" s="17" t="n">
        <v>11</v>
      </c>
      <c r="C23" s="28" t="n"/>
      <c r="D23" s="28" t="n"/>
      <c r="E23" s="28" t="n"/>
      <c r="F23" s="28" t="n"/>
      <c r="G23" s="28" t="n"/>
      <c r="H23" s="28" t="n"/>
      <c r="I23" s="28" t="n"/>
      <c r="J23" s="28" t="n"/>
      <c r="K23" s="29">
        <f>SUM(G23:J23)-SUM(C23:F23)</f>
        <v/>
      </c>
      <c r="L23" s="29">
        <f>L22+K23</f>
        <v/>
      </c>
      <c r="M23" s="29">
        <f>MAX(0,-L23)</f>
        <v/>
      </c>
      <c r="P23" s="17" t="n">
        <v>11</v>
      </c>
      <c r="Q23" s="22">
        <f>SUMPRODUCT(($B$12:$B$49&gt;=3*P23-2)*($B$12:$B$49&lt;=3*P23)*$K$12:$K$49)</f>
        <v/>
      </c>
      <c r="R23" s="22">
        <f>R22+Q23</f>
        <v/>
      </c>
    </row>
    <row r="24">
      <c r="B24" s="17" t="n">
        <v>12</v>
      </c>
      <c r="C24" s="28" t="n"/>
      <c r="D24" s="28" t="n"/>
      <c r="E24" s="28" t="n"/>
      <c r="F24" s="28" t="n"/>
      <c r="G24" s="28" t="n"/>
      <c r="H24" s="28" t="n"/>
      <c r="I24" s="28" t="n"/>
      <c r="J24" s="28" t="n"/>
      <c r="K24" s="29">
        <f>SUM(G24:J24)-SUM(C24:F24)</f>
        <v/>
      </c>
      <c r="L24" s="29">
        <f>L23+K24</f>
        <v/>
      </c>
      <c r="M24" s="29">
        <f>MAX(0,-L24)</f>
        <v/>
      </c>
      <c r="P24" s="17" t="n">
        <v>12</v>
      </c>
      <c r="Q24" s="22">
        <f>SUMPRODUCT(($B$12:$B$49&gt;=3*P24-2)*($B$12:$B$49&lt;=3*P24)*$K$12:$K$49)</f>
        <v/>
      </c>
      <c r="R24" s="22">
        <f>R23+Q24</f>
        <v/>
      </c>
    </row>
    <row r="25">
      <c r="B25" s="17" t="n">
        <v>13</v>
      </c>
      <c r="C25" s="28" t="n"/>
      <c r="D25" s="28" t="n"/>
      <c r="E25" s="28" t="n"/>
      <c r="F25" s="28" t="n"/>
      <c r="G25" s="28" t="n"/>
      <c r="H25" s="28" t="n"/>
      <c r="I25" s="28" t="n"/>
      <c r="J25" s="28" t="n"/>
      <c r="K25" s="29">
        <f>SUM(G25:J25)-SUM(C25:F25)</f>
        <v/>
      </c>
      <c r="L25" s="29">
        <f>L24+K25</f>
        <v/>
      </c>
      <c r="M25" s="29">
        <f>MAX(0,-L25)</f>
        <v/>
      </c>
    </row>
    <row r="26">
      <c r="B26" s="17" t="n">
        <v>14</v>
      </c>
      <c r="C26" s="28" t="n"/>
      <c r="D26" s="28" t="n"/>
      <c r="E26" s="28" t="n"/>
      <c r="F26" s="28" t="n"/>
      <c r="G26" s="28" t="n"/>
      <c r="H26" s="28" t="n"/>
      <c r="I26" s="28" t="n"/>
      <c r="J26" s="28" t="n"/>
      <c r="K26" s="29">
        <f>SUM(G26:J26)-SUM(C26:F26)</f>
        <v/>
      </c>
      <c r="L26" s="29">
        <f>L25+K26</f>
        <v/>
      </c>
      <c r="M26" s="29">
        <f>MAX(0,-L26)</f>
        <v/>
      </c>
    </row>
    <row r="27">
      <c r="B27" s="17" t="n">
        <v>15</v>
      </c>
      <c r="C27" s="28" t="n"/>
      <c r="D27" s="28" t="n"/>
      <c r="E27" s="28" t="n"/>
      <c r="F27" s="28" t="n"/>
      <c r="G27" s="28" t="n"/>
      <c r="H27" s="28" t="n"/>
      <c r="I27" s="28" t="n"/>
      <c r="J27" s="28" t="n"/>
      <c r="K27" s="29">
        <f>SUM(G27:J27)-SUM(C27:F27)</f>
        <v/>
      </c>
      <c r="L27" s="29">
        <f>L26+K27</f>
        <v/>
      </c>
      <c r="M27" s="29">
        <f>MAX(0,-L27)</f>
        <v/>
      </c>
    </row>
    <row r="28">
      <c r="B28" s="17" t="n">
        <v>16</v>
      </c>
      <c r="C28" s="28" t="n"/>
      <c r="D28" s="28" t="n"/>
      <c r="E28" s="28" t="n"/>
      <c r="F28" s="28" t="n"/>
      <c r="G28" s="28" t="n"/>
      <c r="H28" s="28" t="n"/>
      <c r="I28" s="28" t="n"/>
      <c r="J28" s="28" t="n"/>
      <c r="K28" s="29">
        <f>SUM(G28:J28)-SUM(C28:F28)</f>
        <v/>
      </c>
      <c r="L28" s="29">
        <f>L27+K28</f>
        <v/>
      </c>
      <c r="M28" s="29">
        <f>MAX(0,-L28)</f>
        <v/>
      </c>
    </row>
    <row r="29">
      <c r="B29" s="17" t="n">
        <v>17</v>
      </c>
      <c r="C29" s="28" t="n"/>
      <c r="D29" s="28" t="n"/>
      <c r="E29" s="28" t="n"/>
      <c r="F29" s="28" t="n"/>
      <c r="G29" s="28" t="n"/>
      <c r="H29" s="28" t="n"/>
      <c r="I29" s="28" t="n"/>
      <c r="J29" s="28" t="n"/>
      <c r="K29" s="29">
        <f>SUM(G29:J29)-SUM(C29:F29)</f>
        <v/>
      </c>
      <c r="L29" s="29">
        <f>L28+K29</f>
        <v/>
      </c>
      <c r="M29" s="29">
        <f>MAX(0,-L29)</f>
        <v/>
      </c>
    </row>
    <row r="30">
      <c r="B30" s="17" t="n">
        <v>18</v>
      </c>
      <c r="C30" s="28" t="n"/>
      <c r="D30" s="28" t="n"/>
      <c r="E30" s="28" t="n"/>
      <c r="F30" s="28" t="n"/>
      <c r="G30" s="28" t="n"/>
      <c r="H30" s="28" t="n"/>
      <c r="I30" s="28" t="n"/>
      <c r="J30" s="28" t="n"/>
      <c r="K30" s="29">
        <f>SUM(G30:J30)-SUM(C30:F30)</f>
        <v/>
      </c>
      <c r="L30" s="29">
        <f>L29+K30</f>
        <v/>
      </c>
      <c r="M30" s="29">
        <f>MAX(0,-L30)</f>
        <v/>
      </c>
    </row>
    <row r="31">
      <c r="B31" s="17" t="n">
        <v>19</v>
      </c>
      <c r="C31" s="28" t="n"/>
      <c r="D31" s="28" t="n"/>
      <c r="E31" s="28" t="n"/>
      <c r="F31" s="28" t="n"/>
      <c r="G31" s="28" t="n"/>
      <c r="H31" s="28" t="n"/>
      <c r="I31" s="28" t="n"/>
      <c r="J31" s="28" t="n"/>
      <c r="K31" s="29">
        <f>SUM(G31:J31)-SUM(C31:F31)</f>
        <v/>
      </c>
      <c r="L31" s="29">
        <f>L30+K31</f>
        <v/>
      </c>
      <c r="M31" s="29">
        <f>MAX(0,-L31)</f>
        <v/>
      </c>
    </row>
    <row r="32">
      <c r="B32" s="17" t="n">
        <v>20</v>
      </c>
      <c r="C32" s="28" t="n"/>
      <c r="D32" s="28" t="n"/>
      <c r="E32" s="28" t="n"/>
      <c r="F32" s="28" t="n"/>
      <c r="G32" s="28" t="n"/>
      <c r="H32" s="28" t="n"/>
      <c r="I32" s="28" t="n"/>
      <c r="J32" s="28" t="n"/>
      <c r="K32" s="29">
        <f>SUM(G32:J32)-SUM(C32:F32)</f>
        <v/>
      </c>
      <c r="L32" s="29">
        <f>L31+K32</f>
        <v/>
      </c>
      <c r="M32" s="29">
        <f>MAX(0,-L32)</f>
        <v/>
      </c>
    </row>
    <row r="33">
      <c r="B33" s="17" t="n">
        <v>21</v>
      </c>
      <c r="C33" s="28" t="n"/>
      <c r="D33" s="28" t="n"/>
      <c r="E33" s="28" t="n"/>
      <c r="F33" s="28" t="n"/>
      <c r="G33" s="28" t="n"/>
      <c r="H33" s="28" t="n"/>
      <c r="I33" s="28" t="n"/>
      <c r="J33" s="28" t="n"/>
      <c r="K33" s="29">
        <f>SUM(G33:J33)-SUM(C33:F33)</f>
        <v/>
      </c>
      <c r="L33" s="29">
        <f>L32+K33</f>
        <v/>
      </c>
      <c r="M33" s="29">
        <f>MAX(0,-L33)</f>
        <v/>
      </c>
    </row>
    <row r="34">
      <c r="B34" s="17" t="n">
        <v>22</v>
      </c>
      <c r="C34" s="28" t="n"/>
      <c r="D34" s="28" t="n"/>
      <c r="E34" s="28" t="n"/>
      <c r="F34" s="28" t="n"/>
      <c r="G34" s="28" t="n"/>
      <c r="H34" s="28" t="n"/>
      <c r="I34" s="28" t="n"/>
      <c r="J34" s="28" t="n"/>
      <c r="K34" s="29">
        <f>SUM(G34:J34)-SUM(C34:F34)</f>
        <v/>
      </c>
      <c r="L34" s="29">
        <f>L33+K34</f>
        <v/>
      </c>
      <c r="M34" s="29">
        <f>MAX(0,-L34)</f>
        <v/>
      </c>
    </row>
    <row r="35">
      <c r="B35" s="17" t="n">
        <v>23</v>
      </c>
      <c r="C35" s="28" t="n"/>
      <c r="D35" s="28" t="n"/>
      <c r="E35" s="28" t="n"/>
      <c r="F35" s="28" t="n"/>
      <c r="G35" s="28" t="n"/>
      <c r="H35" s="28" t="n"/>
      <c r="I35" s="28" t="n"/>
      <c r="J35" s="28" t="n"/>
      <c r="K35" s="29">
        <f>SUM(G35:J35)-SUM(C35:F35)</f>
        <v/>
      </c>
      <c r="L35" s="29">
        <f>L34+K35</f>
        <v/>
      </c>
      <c r="M35" s="29">
        <f>MAX(0,-L35)</f>
        <v/>
      </c>
    </row>
    <row r="36">
      <c r="B36" s="17" t="n">
        <v>24</v>
      </c>
      <c r="C36" s="28" t="n"/>
      <c r="D36" s="28" t="n"/>
      <c r="E36" s="28" t="n"/>
      <c r="F36" s="28" t="n"/>
      <c r="G36" s="28" t="n"/>
      <c r="H36" s="28" t="n"/>
      <c r="I36" s="28" t="n"/>
      <c r="J36" s="28" t="n"/>
      <c r="K36" s="29">
        <f>SUM(G36:J36)-SUM(C36:F36)</f>
        <v/>
      </c>
      <c r="L36" s="29">
        <f>L35+K36</f>
        <v/>
      </c>
      <c r="M36" s="29">
        <f>MAX(0,-L36)</f>
        <v/>
      </c>
    </row>
    <row r="37">
      <c r="B37" s="17" t="n">
        <v>25</v>
      </c>
      <c r="C37" s="28" t="n"/>
      <c r="D37" s="28" t="n"/>
      <c r="E37" s="28" t="n"/>
      <c r="F37" s="28" t="n"/>
      <c r="G37" s="28" t="n"/>
      <c r="H37" s="28" t="n"/>
      <c r="I37" s="28" t="n"/>
      <c r="J37" s="28" t="n"/>
      <c r="K37" s="29">
        <f>SUM(G37:J37)-SUM(C37:F37)</f>
        <v/>
      </c>
      <c r="L37" s="29">
        <f>L36+K37</f>
        <v/>
      </c>
      <c r="M37" s="29">
        <f>MAX(0,-L37)</f>
        <v/>
      </c>
    </row>
    <row r="38">
      <c r="B38" s="17" t="n">
        <v>26</v>
      </c>
      <c r="C38" s="28" t="n"/>
      <c r="D38" s="28" t="n"/>
      <c r="E38" s="28" t="n"/>
      <c r="F38" s="28" t="n"/>
      <c r="G38" s="28" t="n"/>
      <c r="H38" s="28" t="n"/>
      <c r="I38" s="28" t="n"/>
      <c r="J38" s="28" t="n"/>
      <c r="K38" s="29">
        <f>SUM(G38:J38)-SUM(C38:F38)</f>
        <v/>
      </c>
      <c r="L38" s="29">
        <f>L37+K38</f>
        <v/>
      </c>
      <c r="M38" s="29">
        <f>MAX(0,-L38)</f>
        <v/>
      </c>
    </row>
    <row r="39">
      <c r="B39" s="17" t="n">
        <v>27</v>
      </c>
      <c r="C39" s="28" t="n"/>
      <c r="D39" s="28" t="n"/>
      <c r="E39" s="28" t="n"/>
      <c r="F39" s="28" t="n"/>
      <c r="G39" s="28" t="n"/>
      <c r="H39" s="28" t="n"/>
      <c r="I39" s="28" t="n"/>
      <c r="J39" s="28" t="n"/>
      <c r="K39" s="29">
        <f>SUM(G39:J39)-SUM(C39:F39)</f>
        <v/>
      </c>
      <c r="L39" s="29">
        <f>L38+K39</f>
        <v/>
      </c>
      <c r="M39" s="29">
        <f>MAX(0,-L39)</f>
        <v/>
      </c>
    </row>
    <row r="40">
      <c r="B40" s="17" t="n">
        <v>28</v>
      </c>
      <c r="C40" s="28" t="n"/>
      <c r="D40" s="28" t="n"/>
      <c r="E40" s="28" t="n"/>
      <c r="F40" s="28" t="n"/>
      <c r="G40" s="28" t="n"/>
      <c r="H40" s="28" t="n"/>
      <c r="I40" s="28" t="n"/>
      <c r="J40" s="28" t="n"/>
      <c r="K40" s="29">
        <f>SUM(G40:J40)-SUM(C40:F40)</f>
        <v/>
      </c>
      <c r="L40" s="29">
        <f>L39+K40</f>
        <v/>
      </c>
      <c r="M40" s="29">
        <f>MAX(0,-L40)</f>
        <v/>
      </c>
    </row>
    <row r="41">
      <c r="B41" s="17" t="n">
        <v>29</v>
      </c>
      <c r="C41" s="28" t="n"/>
      <c r="D41" s="28" t="n"/>
      <c r="E41" s="28" t="n"/>
      <c r="F41" s="28" t="n"/>
      <c r="G41" s="28" t="n"/>
      <c r="H41" s="28" t="n"/>
      <c r="I41" s="28" t="n"/>
      <c r="J41" s="28" t="n"/>
      <c r="K41" s="29">
        <f>SUM(G41:J41)-SUM(C41:F41)</f>
        <v/>
      </c>
      <c r="L41" s="29">
        <f>L40+K41</f>
        <v/>
      </c>
      <c r="M41" s="29">
        <f>MAX(0,-L41)</f>
        <v/>
      </c>
    </row>
    <row r="42">
      <c r="B42" s="17" t="n">
        <v>30</v>
      </c>
      <c r="C42" s="28" t="n"/>
      <c r="D42" s="28" t="n"/>
      <c r="E42" s="28" t="n"/>
      <c r="F42" s="28" t="n"/>
      <c r="G42" s="28" t="n"/>
      <c r="H42" s="28" t="n"/>
      <c r="I42" s="28" t="n"/>
      <c r="J42" s="28" t="n"/>
      <c r="K42" s="29">
        <f>SUM(G42:J42)-SUM(C42:F42)</f>
        <v/>
      </c>
      <c r="L42" s="29">
        <f>L41+K42</f>
        <v/>
      </c>
      <c r="M42" s="29">
        <f>MAX(0,-L42)</f>
        <v/>
      </c>
    </row>
    <row r="43">
      <c r="B43" s="17" t="n">
        <v>31</v>
      </c>
      <c r="C43" s="28" t="n"/>
      <c r="D43" s="28" t="n"/>
      <c r="E43" s="28" t="n"/>
      <c r="F43" s="28" t="n"/>
      <c r="G43" s="28" t="n"/>
      <c r="H43" s="28" t="n"/>
      <c r="I43" s="28" t="n"/>
      <c r="J43" s="28" t="n"/>
      <c r="K43" s="29">
        <f>SUM(G43:J43)-SUM(C43:F43)</f>
        <v/>
      </c>
      <c r="L43" s="29">
        <f>L42+K43</f>
        <v/>
      </c>
      <c r="M43" s="29">
        <f>MAX(0,-L43)</f>
        <v/>
      </c>
    </row>
    <row r="44">
      <c r="B44" s="17" t="n">
        <v>32</v>
      </c>
      <c r="C44" s="28" t="n"/>
      <c r="D44" s="28" t="n"/>
      <c r="E44" s="28" t="n"/>
      <c r="F44" s="28" t="n"/>
      <c r="G44" s="28" t="n"/>
      <c r="H44" s="28" t="n"/>
      <c r="I44" s="28" t="n"/>
      <c r="J44" s="28" t="n"/>
      <c r="K44" s="29">
        <f>SUM(G44:J44)-SUM(C44:F44)</f>
        <v/>
      </c>
      <c r="L44" s="29">
        <f>L43+K44</f>
        <v/>
      </c>
      <c r="M44" s="29">
        <f>MAX(0,-L44)</f>
        <v/>
      </c>
    </row>
    <row r="45">
      <c r="B45" s="17" t="n">
        <v>33</v>
      </c>
      <c r="C45" s="28" t="n"/>
      <c r="D45" s="28" t="n"/>
      <c r="E45" s="28" t="n"/>
      <c r="F45" s="28" t="n"/>
      <c r="G45" s="28" t="n"/>
      <c r="H45" s="28" t="n"/>
      <c r="I45" s="28" t="n"/>
      <c r="J45" s="28" t="n"/>
      <c r="K45" s="29">
        <f>SUM(G45:J45)-SUM(C45:F45)</f>
        <v/>
      </c>
      <c r="L45" s="29">
        <f>L44+K45</f>
        <v/>
      </c>
      <c r="M45" s="29">
        <f>MAX(0,-L45)</f>
        <v/>
      </c>
    </row>
    <row r="46">
      <c r="B46" s="17" t="n">
        <v>34</v>
      </c>
      <c r="C46" s="28" t="n"/>
      <c r="D46" s="28" t="n"/>
      <c r="E46" s="28" t="n"/>
      <c r="F46" s="28" t="n"/>
      <c r="G46" s="28" t="n"/>
      <c r="H46" s="28" t="n"/>
      <c r="I46" s="28" t="n"/>
      <c r="J46" s="28" t="n"/>
      <c r="K46" s="29">
        <f>SUM(G46:J46)-SUM(C46:F46)</f>
        <v/>
      </c>
      <c r="L46" s="29">
        <f>L45+K46</f>
        <v/>
      </c>
      <c r="M46" s="29">
        <f>MAX(0,-L46)</f>
        <v/>
      </c>
    </row>
    <row r="47">
      <c r="B47" s="17" t="n">
        <v>35</v>
      </c>
      <c r="C47" s="28" t="n"/>
      <c r="D47" s="28" t="n"/>
      <c r="E47" s="28" t="n"/>
      <c r="F47" s="28" t="n"/>
      <c r="G47" s="28" t="n"/>
      <c r="H47" s="28" t="n"/>
      <c r="I47" s="28" t="n"/>
      <c r="J47" s="28" t="n"/>
      <c r="K47" s="29">
        <f>SUM(G47:J47)-SUM(C47:F47)</f>
        <v/>
      </c>
      <c r="L47" s="29">
        <f>L46+K47</f>
        <v/>
      </c>
      <c r="M47" s="29">
        <f>MAX(0,-L47)</f>
        <v/>
      </c>
    </row>
    <row r="48">
      <c r="B48" s="17" t="n">
        <v>36</v>
      </c>
      <c r="C48" s="28" t="n"/>
      <c r="D48" s="28" t="n"/>
      <c r="E48" s="28" t="n"/>
      <c r="F48" s="28" t="n"/>
      <c r="G48" s="28" t="n"/>
      <c r="H48" s="28" t="n"/>
      <c r="I48" s="28" t="n"/>
      <c r="J48" s="28" t="n"/>
      <c r="K48" s="29">
        <f>SUM(G48:J48)-SUM(C48:F48)</f>
        <v/>
      </c>
      <c r="L48" s="29">
        <f>L47+K48</f>
        <v/>
      </c>
      <c r="M48" s="29">
        <f>MAX(0,-L48)</f>
        <v/>
      </c>
    </row>
    <row r="49">
      <c r="B49" s="17" t="n">
        <v>37</v>
      </c>
      <c r="C49" s="28" t="n"/>
      <c r="D49" s="28" t="n"/>
      <c r="E49" s="28" t="n"/>
      <c r="F49" s="28" t="n"/>
      <c r="G49" s="28" t="n"/>
      <c r="H49" s="28" t="n"/>
      <c r="I49" s="28" t="n"/>
      <c r="J49" s="28" t="n"/>
      <c r="K49" s="29">
        <f>SUM(G49:J49)-SUM(C49:F49)</f>
        <v/>
      </c>
      <c r="L49" s="29">
        <f>L48+K49</f>
        <v/>
      </c>
      <c r="M49" s="29">
        <f>MAX(0,-L49)</f>
        <v/>
      </c>
    </row>
  </sheetData>
  <mergeCells count="5">
    <mergeCell ref="B6:C6"/>
    <mergeCell ref="B7:C7"/>
    <mergeCell ref="B5:C5"/>
    <mergeCell ref="B9:C9"/>
    <mergeCell ref="B8:C8"/>
  </mergeCell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B2:C13"/>
  <sheetViews>
    <sheetView showGridLines="0" workbookViewId="0">
      <selection activeCell="A1" sqref="A1"/>
    </sheetView>
  </sheetViews>
  <sheetFormatPr baseColWidth="8" defaultRowHeight="15"/>
  <cols>
    <col width="2" customWidth="1" min="1" max="1"/>
    <col width="100" customWidth="1" min="2" max="2"/>
    <col width="22" customWidth="1" min="3" max="3"/>
  </cols>
  <sheetData>
    <row r="1" ht="6" customHeight="1"/>
    <row r="2">
      <c r="B2" s="5" t="inlineStr">
        <is>
          <t>Checks: what is still empty, and whether the sheets hold together</t>
        </is>
      </c>
    </row>
    <row r="4">
      <c r="B4" s="36" t="inlineStr">
        <is>
          <t>All checks</t>
        </is>
      </c>
      <c r="C4" s="37">
        <f>IF(COUNTIF(C6:C13,"FAIL")=0,"no FAIL","FAIL: "&amp;COUNTIF(C6:C13,"FAIL"))</f>
        <v/>
      </c>
    </row>
    <row r="5">
      <c r="B5" s="15" t="inlineStr">
        <is>
          <t>Check</t>
        </is>
      </c>
      <c r="C5" s="16" t="inlineStr">
        <is>
          <t>Result</t>
        </is>
      </c>
    </row>
    <row r="6" ht="45" customHeight="1">
      <c r="B6" s="38" t="inlineStr">
        <is>
          <t>Inputs still empty: the three ledger settings, at least one certificate, the hurdle, at least one class on the bid sheet, at least one class in the redemption record, at least one flow in the cash calendar</t>
        </is>
      </c>
      <c r="C6" s="39">
        <f>IF((COUNTBLANK('1. Ledger'!H5)+COUNTBLANK('1. Ledger'!H6)+COUNTBLANK('1. Ledger'!H7)+IF(COUNT('1. Ledger'!F12:F71)=0,1,0)+COUNTBLANK('2. Bid sheet'!D6)+IF(COUNT('2. Bid sheet'!D10:D17)=0,1,0)+IF(COUNT('3. Redemption record'!C7:C14)=0,1,0)+IF(COUNT('4. Cash calendar'!C12:J49)=0,1,0))=0,"OK",(COUNTBLANK('1. Ledger'!H5)+COUNTBLANK('1. Ledger'!H6)+COUNTBLANK('1. Ledger'!H7)+IF(COUNT('1. Ledger'!F12:F71)=0,1,0)+COUNTBLANK('2. Bid sheet'!D6)+IF(COUNT('2. Bid sheet'!D10:D17)=0,1,0)+IF(COUNT('3. Redemption record'!C7:C14)=0,1,0)+IF(COUNT('4. Cash calendar'!C12:J49)=0,1,0))&amp;" to fill")</f>
        <v/>
      </c>
    </row>
    <row r="7" ht="30" customHeight="1">
      <c r="B7" s="38" t="inlineStr">
        <is>
          <t>Ledger: every line with a positive bid returns at least the face (the payoff rule never pays less)</t>
        </is>
      </c>
      <c r="C7" s="39">
        <f>IF(SUMPRODUCT(('1. Ledger'!I12:I71&lt;&gt;"")*('1. Ledger'!G12:G71&gt;0)*('1. Ledger'!I12:I71&lt;'1. Ledger'!F12:F71))=0,"OK","FAIL")</f>
        <v/>
      </c>
    </row>
    <row r="8" ht="15" customHeight="1">
      <c r="B8" s="38" t="inlineStr">
        <is>
          <t>Ledger: every priced line has its IRR</t>
        </is>
      </c>
      <c r="C8" s="39">
        <f>IF(COUNT('1. Ledger'!I12:I71)=COUNT('1. Ledger'!L12:L71),"OK","FAIL")</f>
        <v/>
      </c>
    </row>
    <row r="9" ht="15" customHeight="1">
      <c r="B9" s="38" t="inlineStr">
        <is>
          <t>Ledger: the minimum charge is between 0% and 100%</t>
        </is>
      </c>
      <c r="C9" s="39">
        <f>IF(AND(N('1. Ledger'!H5)&gt;=0,N('1. Ledger'!H5)&lt;1),"OK","FAIL")</f>
        <v/>
      </c>
    </row>
    <row r="10" ht="15" customHeight="1">
      <c r="B10" s="38" t="inlineStr">
        <is>
          <t>Bid sheet: no floor bid below 0%</t>
        </is>
      </c>
      <c r="C10" s="39">
        <f>IF(COUNTIF('2. Bid sheet'!F10:F17,"&lt;0")=0,"OK","FAIL")</f>
        <v/>
      </c>
    </row>
    <row r="11" ht="15" customHeight="1">
      <c r="B11" s="38" t="inlineStr">
        <is>
          <t>Redemption record: no class has more certificates redeemed or resolved than sold</t>
        </is>
      </c>
      <c r="C11" s="39">
        <f>IF(COUNTIF('3. Redemption record'!L7:L14,"&lt;-0.000001")+COUNTIF('3. Redemption record'!O18:O25,"&lt;-0.000001")=0,"OK","FAIL")</f>
        <v/>
      </c>
    </row>
    <row r="12" ht="15" customHeight="1">
      <c r="B12" s="38" t="inlineStr">
        <is>
          <t>Cash calendar: the cumulative at month 37 equals total inflows less total outlays</t>
        </is>
      </c>
      <c r="C12" s="39">
        <f>IF(ABS('4. Cash calendar'!L49-'4. Cash calendar'!D7)&lt;1E-6,"OK","FAIL")</f>
        <v/>
      </c>
    </row>
    <row r="13" ht="15" customHeight="1">
      <c r="B13" s="38" t="inlineStr">
        <is>
          <t>Cash calendar: quarters 0 to 12 add up to the calendar through month 36</t>
        </is>
      </c>
      <c r="C13" s="39">
        <f>IF(ABS('4. Cash calendar'!R24-'4. Cash calendar'!L48)&lt;1E-6,"OK","FAIL")</f>
        <v/>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2026-09-24T20:13:24Z</dcterms:created>
  <dcterms:modified xmlns:dcterms="http://purl.org/dc/terms/" xmlns:xsi="http://www.w3.org/2001/XMLSchema-instance" xsi:type="dcterms:W3CDTF">2026-09-24T20:13:24Z</dcterms:modified>
</cp:coreProperties>
</file>