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5.xml.rels" ContentType="application/vnd.openxmlformats-package.relationship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comments5.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Read Me" sheetId="1" state="visible" r:id="rId3"/>
    <sheet name="1. The Deal" sheetId="2" state="visible" r:id="rId4"/>
    <sheet name="2. Return" sheetId="3" state="visible" r:id="rId5"/>
    <sheet name="3. Decomposition" sheetId="4" state="visible" r:id="rId6"/>
    <sheet name="4. Stress" sheetId="5" state="visible" r:id="rId7"/>
    <sheet name="5. Checks" sheetId="6" state="visible" r:id="rId8"/>
  </sheet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C8" authorId="0">
      <text>
        <r>
          <rPr>
            <sz val="10"/>
            <rFont val="Arial"/>
            <family val="2"/>
          </rPr>
          <t xml:space="preserve">The reported NAV is the seller's number. This is yours, rebuilt company by company. A conservative marker with a company signed for sale above its carry is why this sits above the reported figure.</t>
        </r>
      </text>
    </comment>
    <comment ref="C10" authorId="0">
      <text>
        <r>
          <rPr>
            <sz val="10"/>
            <rFont val="Arial"/>
            <family val="2"/>
          </rPr>
          <t xml:space="preserve">Not the NAV — the total the fund is expected to distribute over the hold, including appreciation still to come. It is the single assumption that carries the return.</t>
        </r>
      </text>
    </comment>
  </commentList>
</comments>
</file>

<file path=xl/comments5.xml><?xml version="1.0" encoding="utf-8"?>
<comments xmlns="http://schemas.openxmlformats.org/spreadsheetml/2006/main" xmlns:xdr="http://schemas.openxmlformats.org/drawingml/2006/spreadsheetDrawing">
  <authors>
    <author>Unknown Author</author>
  </authors>
  <commentList>
    <comment ref="C7" authorId="0">
      <text>
        <r>
          <rPr>
            <sz val="10"/>
            <rFont val="Arial"/>
            <family val="2"/>
          </rPr>
          <t xml:space="preserve">Two honest readings, and the chapter does not fix one. "delayed": every distribution arrives two years later, the profile unchanged. "stretched": the fund takes six years instead of four and the same shape is spread across them. Type either word here.</t>
        </r>
      </text>
    </comment>
  </commentList>
</comments>
</file>

<file path=xl/sharedStrings.xml><?xml version="1.0" encoding="utf-8"?>
<sst xmlns="http://schemas.openxmlformats.org/spreadsheetml/2006/main" count="239" uniqueCount="186">
  <si>
    <t xml:space="preserve">Secondary Deal Model</t>
  </si>
  <si>
    <t xml:space="preserve">The worked case of Chapter 9, live — and the same model for a deal of your own.</t>
  </si>
  <si>
    <t xml:space="preserve">A buyer is offered an interest in a mid-life buyout fund at a price of 88 against a reported NAV of 100 — a 12 percent discount. From bottom-up work the buyer forms an underwriting NAV of 104, and estimates the portfolio will ultimately return around 130 on the current NAV base of 100 over roughly four years.</t>
  </si>
  <si>
    <t xml:space="preserve">What this file adds to the chapter</t>
  </si>
  <si>
    <t xml:space="preserve">The chapter states the answer in words — a MOIC "in the region of one and a half times", an IRR "in the mid-teens", a stressed MOIC that "compresses toward one and a third". This file computes them, and lets you see what breaks them.</t>
  </si>
  <si>
    <t xml:space="preserve">The sheets</t>
  </si>
  <si>
    <t xml:space="preserve">1. The Deal — price, NAV, underwriting NAV, the distribution profile and the remaining calls.</t>
  </si>
  <si>
    <t xml:space="preserve">2. Return — MOIC and IRR on the modelled cash flows, against the chapter's stated ranges.</t>
  </si>
  <si>
    <t xml:space="preserve">3. Decomposition — how much of the return comes from the entry discount and how much from company appreciation. This is the sheet the chapter is really about: it directs your diligence.</t>
  </si>
  <si>
    <t xml:space="preserve">4. Stress — exits delayed and exit values cut, on either reading of "slip by two years".</t>
  </si>
  <si>
    <t xml:space="preserve">5. Checks — every figure the chapter states, against what this file computes.</t>
  </si>
  <si>
    <t xml:space="preserve">One thing the model will not do</t>
  </si>
  <si>
    <t xml:space="preserve">It will not reverse-engineer a price. Form the assumptions first and independently, and let the price fall out of them. When the NAV view, the duration and the growth estimate all conveniently shift to make a competitive price work, that is rationalising, not underwriting.</t>
  </si>
  <si>
    <t xml:space="preserve">Blue on a pale fill is an input. Black is a formula. Yellow marks an assumption that carries the answer. Nothing is locked, protected or watermarked.</t>
  </si>
  <si>
    <t xml:space="preserve">The deal</t>
  </si>
  <si>
    <t xml:space="preserve">Chapter 9, "A Full Worked Example, End to End". Units are notional and internally consistent.</t>
  </si>
  <si>
    <t xml:space="preserve">Price and value</t>
  </si>
  <si>
    <t xml:space="preserve">Reported NAV at the reference date</t>
  </si>
  <si>
    <t xml:space="preserve">Price offered</t>
  </si>
  <si>
    <t xml:space="preserve">Discount to reported NAV</t>
  </si>
  <si>
    <t xml:space="preserve">Underwriting NAV — your bottom-up rebuild</t>
  </si>
  <si>
    <t xml:space="preserve">Discount to your underwriting NAV</t>
  </si>
  <si>
    <t xml:space="preserve">Total value you expect the fund to return, on the reported NAV base</t>
  </si>
  <si>
    <t xml:space="preserve">Implied appreciation on the reported NAV</t>
  </si>
  <si>
    <t xml:space="preserve">Expected duration to full return (years)</t>
  </si>
  <si>
    <t xml:space="preserve">The distribution profile</t>
  </si>
  <si>
    <t xml:space="preserve">A trustworthy model projects distributions and calls over time rather than assuming a single terminal payout, because the shape of the cash flows drives the IRR. Tie the shape to your bottom-up view of when the significant companies will be sold, not to a generic assumption.</t>
  </si>
  <si>
    <t xml:space="preserve">Year</t>
  </si>
  <si>
    <t xml:space="preserve">Share of total value distributed</t>
  </si>
  <si>
    <t xml:space="preserve">Distributions</t>
  </si>
  <si>
    <t xml:space="preserve">Remaining capital called</t>
  </si>
  <si>
    <t xml:space="preserve">Net cash flow</t>
  </si>
  <si>
    <t xml:space="preserve">Total</t>
  </si>
  <si>
    <t xml:space="preserve">Shares must total 100 per cent</t>
  </si>
  <si>
    <t xml:space="preserve">Distributions total the expected value</t>
  </si>
  <si>
    <t xml:space="preserve">The remaining commitment matters more than it looks. Part of what you are buying is a promise to fund investments not yet made: model the calls, or the net IRR is a fiction.</t>
  </si>
  <si>
    <t xml:space="preserve">Structure</t>
  </si>
  <si>
    <t xml:space="preserve">Portion of the price deferred</t>
  </si>
  <si>
    <t xml:space="preserve">Deferral period (years)</t>
  </si>
  <si>
    <t xml:space="preserve">Cost of the deferral, per year</t>
  </si>
  <si>
    <t xml:space="preserve">Leverage drawn at closing</t>
  </si>
  <si>
    <t xml:space="preserve">Cost of that leverage, per year</t>
  </si>
  <si>
    <t xml:space="preserve">Leverage repaid at year</t>
  </si>
  <si>
    <t xml:space="preserve">Left at zero, the model is the unlevered, undeferred case of the chapter. Structure bends the return; it does not create value. Always model the case where cash comes slowly and the deferred payments still come due.</t>
  </si>
  <si>
    <t xml:space="preserve">Cash flow to the buyer</t>
  </si>
  <si>
    <t xml:space="preserve">Line</t>
  </si>
  <si>
    <t xml:space="preserve">0</t>
  </si>
  <si>
    <t xml:space="preserve">1</t>
  </si>
  <si>
    <t xml:space="preserve">2</t>
  </si>
  <si>
    <t xml:space="preserve">3</t>
  </si>
  <si>
    <t xml:space="preserve">4</t>
  </si>
  <si>
    <t xml:space="preserve">5</t>
  </si>
  <si>
    <t xml:space="preserve">6</t>
  </si>
  <si>
    <t xml:space="preserve">7</t>
  </si>
  <si>
    <t xml:space="preserve">8</t>
  </si>
  <si>
    <t xml:space="preserve">Price paid at closing</t>
  </si>
  <si>
    <t xml:space="preserve">Leverage drawn</t>
  </si>
  <si>
    <t xml:space="preserve">Deferred payment, with its cost</t>
  </si>
  <si>
    <t xml:space="preserve">Leverage repaid, with its cost</t>
  </si>
  <si>
    <t xml:space="preserve">Distributions net of remaining calls</t>
  </si>
  <si>
    <t xml:space="preserve">Net cash flow to the buyer</t>
  </si>
  <si>
    <t xml:space="preserve">MOIC measures how much value is created; IRR measures how fast</t>
  </si>
  <si>
    <t xml:space="preserve">They diverge with duration, and the gap between them is itself informative.</t>
  </si>
  <si>
    <t xml:space="preserve">The two measures</t>
  </si>
  <si>
    <t xml:space="preserve">Measure</t>
  </si>
  <si>
    <t xml:space="preserve">Value</t>
  </si>
  <si>
    <t xml:space="preserve">Chapter 9 says</t>
  </si>
  <si>
    <t xml:space="preserve">Within range?</t>
  </si>
  <si>
    <t xml:space="preserve">Total cash out — price and any deferred cost</t>
  </si>
  <si>
    <t xml:space="preserve">Total cash in — distributions net of calls</t>
  </si>
  <si>
    <t xml:space="preserve">MOIC</t>
  </si>
  <si>
    <t xml:space="preserve">"in the region of one and a half times"</t>
  </si>
  <si>
    <t xml:space="preserve">IRR</t>
  </si>
  <si>
    <t xml:space="preserve">"an IRR in the mid-teens"</t>
  </si>
  <si>
    <t xml:space="preserve">Duration to full return (years)</t>
  </si>
  <si>
    <t xml:space="preserve">MOIC per year of duration, compounded</t>
  </si>
  <si>
    <t xml:space="preserve">The chapter states ranges, not point figures. The check column tests membership of the range it states — which is the honest test, and the one that survives you changing the profile.</t>
  </si>
  <si>
    <t xml:space="preserve">The time value of a discount — Chapter 8, made live</t>
  </si>
  <si>
    <t xml:space="preserve">An interest bought at 85 against a NAV of 100 returns the same 1.18x whether the money comes back in one year or in five. The IRR does not survive the wait. This is the single most useful table in the pricing chapter, and it is why duration is priced before the discount is.</t>
  </si>
  <si>
    <t xml:space="preserve">Time to full return (years)</t>
  </si>
  <si>
    <t xml:space="preserve">Price paid</t>
  </si>
  <si>
    <t xml:space="preserve">Value returned</t>
  </si>
  <si>
    <t xml:space="preserve">Chapter 8</t>
  </si>
  <si>
    <t xml:space="preserve">Same headline discount, very different deals. At the same 15 per cent discount a late-life fund liquidating in eighteen months and a mid-life fund taking five years are not comparable propositions — the second needs a deeper discount, or a credible view that its companies will appreciate meaningfully.</t>
  </si>
  <si>
    <t xml:space="preserve">What discount you need, for a hurdle of your own</t>
  </si>
  <si>
    <t xml:space="preserve">Your required return</t>
  </si>
  <si>
    <t xml:space="preserve">Expected duration (years)</t>
  </si>
  <si>
    <t xml:space="preserve">Value you expect to receive, per 100 of NAV</t>
  </si>
  <si>
    <t xml:space="preserve">Price you can pay</t>
  </si>
  <si>
    <t xml:space="preserve">Discount to NAV that implies</t>
  </si>
  <si>
    <t xml:space="preserve">Price you can pay if the value is returned evenly over the period instead</t>
  </si>
  <si>
    <t xml:space="preserve">And the discount that implies</t>
  </si>
  <si>
    <t xml:space="preserve">The correct discount is derived from your required return and your view of duration and risk — not copied from a market convention. Note how far apart the two prices above sit: the shape of the cash flows is worth more than several points of headline discount.</t>
  </si>
  <si>
    <t xml:space="preserve">Where the return comes from</t>
  </si>
  <si>
    <t xml:space="preserve">Separate the return attributable to the entry discount from the return attributable to company appreciation.</t>
  </si>
  <si>
    <t xml:space="preserve">This is the sheet the chapter is really about. A buyer who saw only the twelve per cent discount might have judged the deal thin and passed. The buyer who modelled the company appreciation separately saw that most of the mid-teens return came from the assets performing, understood exactly where the return and the risk lived, and bid with conviction.</t>
  </si>
  <si>
    <t xml:space="preserve">The two sources</t>
  </si>
  <si>
    <t xml:space="preserve">Source</t>
  </si>
  <si>
    <t xml:space="preserve">Share of the value created</t>
  </si>
  <si>
    <t xml:space="preserve">Note</t>
  </si>
  <si>
    <t xml:space="preserve">Value created in total  (value returned less price paid)</t>
  </si>
  <si>
    <t xml:space="preserve">From the entry discount  (reported NAV less price paid)</t>
  </si>
  <si>
    <t xml:space="preserve">What you captured simply by buying below the marks</t>
  </si>
  <si>
    <t xml:space="preserve">From company appreciation  (value returned less reported NAV)</t>
  </si>
  <si>
    <t xml:space="preserve">What you captured because the companies performed</t>
  </si>
  <si>
    <t xml:space="preserve">Of which already visible in your underwriting NAV</t>
  </si>
  <si>
    <t xml:space="preserve">Conservative marks — value you could see at the reference date</t>
  </si>
  <si>
    <t xml:space="preserve">And still to be earned by the portfolio</t>
  </si>
  <si>
    <t xml:space="preserve">The part that depends on the future, and on your diligence</t>
  </si>
  <si>
    <t xml:space="preserve">Entry discount, in points of the reported NAV</t>
  </si>
  <si>
    <t xml:space="preserve">chapter 9: "about twelve points"</t>
  </si>
  <si>
    <t xml:space="preserve">Appreciation, in points of the reported NAV</t>
  </si>
  <si>
    <t xml:space="preserve">Which of the two carries this deal</t>
  </si>
  <si>
    <t xml:space="preserve">What that means for the diligence</t>
  </si>
  <si>
    <t xml:space="preserve">When appreciation carries the return, the diligence budget belongs on company quality — the growth, margin, leverage and realisation prospects of the two or three assets that determine the outcome — not on squeezing a wider discount. When the discount carries it, the question is instead whether the marks are right, and how quickly the money comes back.</t>
  </si>
  <si>
    <t xml:space="preserve">Sensitivity: what the return needs from the companies</t>
  </si>
  <si>
    <t xml:space="preserve">Total value returned</t>
  </si>
  <si>
    <t xml:space="preserve">Verdict against a 15% hurdle</t>
  </si>
  <si>
    <t xml:space="preserve">Computed on a single terminal payment, so these rates sit below the modelled ones — the shape of the cash flows is worth several points. The column is here to show the slope, not to price the deal.</t>
  </si>
  <si>
    <t xml:space="preserve">Exits slip, and values come in below plan</t>
  </si>
  <si>
    <t xml:space="preserve">The two things that go wrong together. Model them together.</t>
  </si>
  <si>
    <t xml:space="preserve">The stress</t>
  </si>
  <si>
    <t xml:space="preserve">Delay to the exits (years)</t>
  </si>
  <si>
    <t xml:space="preserve">Exit values below plan</t>
  </si>
  <si>
    <t xml:space="preserve">Reading of "the exits slip"</t>
  </si>
  <si>
    <t xml:space="preserve">stretched</t>
  </si>
  <si>
    <t xml:space="preserve">Stressed total value</t>
  </si>
  <si>
    <t xml:space="preserve">Stressed cash flow</t>
  </si>
  <si>
    <t xml:space="preserve">9</t>
  </si>
  <si>
    <t xml:space="preserve">Distributions — delayed reading</t>
  </si>
  <si>
    <t xml:space="preserve">Distributions — stretched reading, equal instalments</t>
  </si>
  <si>
    <t xml:space="preserve">Distributions applied</t>
  </si>
  <si>
    <t xml:space="preserve">Price and structure</t>
  </si>
  <si>
    <t xml:space="preserve">Net cash flow — applied reading</t>
  </si>
  <si>
    <t xml:space="preserve">Net cash flow — delayed reading, for comparison</t>
  </si>
  <si>
    <t xml:space="preserve">Total distributed under the stress</t>
  </si>
  <si>
    <t xml:space="preserve">Which should equal the stressed value</t>
  </si>
  <si>
    <t xml:space="preserve">The result</t>
  </si>
  <si>
    <t xml:space="preserve">Base case</t>
  </si>
  <si>
    <t xml:space="preserve">Stressed</t>
  </si>
  <si>
    <t xml:space="preserve">"compresses toward one and a third"</t>
  </si>
  <si>
    <t xml:space="preserve">"falls into the high single digits"</t>
  </si>
  <si>
    <t xml:space="preserve">IRR on the delayed reading, for comparison</t>
  </si>
  <si>
    <t xml:space="preserve">Does the stressed case still clear your hurdle?</t>
  </si>
  <si>
    <t xml:space="preserve">Because even the stressed case clears the buyer's hurdle for a diversified, near-harvest interest from a conservative manager, and the base case is attractive, the buyer bids with conviction. That is the whole point of running the stress before the bid rather than after the loss.</t>
  </si>
  <si>
    <t xml:space="preserve">Every figure Chapter 9 states, against what this file computes</t>
  </si>
  <si>
    <t xml:space="preserve">The chapter states ranges. The test is membership of the range, not equality to a point.</t>
  </si>
  <si>
    <t xml:space="preserve">Figure</t>
  </si>
  <si>
    <t xml:space="preserve">The chapter</t>
  </si>
  <si>
    <t xml:space="preserve">This file</t>
  </si>
  <si>
    <t xml:space="preserve">Status</t>
  </si>
  <si>
    <t xml:space="preserve">88</t>
  </si>
  <si>
    <t xml:space="preserve">exact</t>
  </si>
  <si>
    <t xml:space="preserve">Reported NAV</t>
  </si>
  <si>
    <t xml:space="preserve">100</t>
  </si>
  <si>
    <t xml:space="preserve">12%</t>
  </si>
  <si>
    <t xml:space="preserve">Underwriting NAV</t>
  </si>
  <si>
    <t xml:space="preserve">104</t>
  </si>
  <si>
    <t xml:space="preserve">Total value expected</t>
  </si>
  <si>
    <t xml:space="preserve">130</t>
  </si>
  <si>
    <t xml:space="preserve">Duration</t>
  </si>
  <si>
    <t xml:space="preserve">4 years</t>
  </si>
  <si>
    <t xml:space="preserve">"in the region of 1.5x"</t>
  </si>
  <si>
    <t xml:space="preserve">range 1.40 to 1.60</t>
  </si>
  <si>
    <t xml:space="preserve">"in the mid-teens"</t>
  </si>
  <si>
    <t xml:space="preserve">range 13% to 17%</t>
  </si>
  <si>
    <t xml:space="preserve">Return from the entry discount</t>
  </si>
  <si>
    <t xml:space="preserve">"about twelve points"</t>
  </si>
  <si>
    <t xml:space="preserve">Which source carries the return</t>
  </si>
  <si>
    <t xml:space="preserve">company appreciation</t>
  </si>
  <si>
    <t xml:space="preserve">Stressed MOIC</t>
  </si>
  <si>
    <t xml:space="preserve">"toward one and a third"</t>
  </si>
  <si>
    <t xml:space="preserve">range 1.28 to 1.38</t>
  </si>
  <si>
    <t xml:space="preserve">Stressed IRR</t>
  </si>
  <si>
    <t xml:space="preserve">"high single digits"</t>
  </si>
  <si>
    <t xml:space="preserve">range 7% to 10%</t>
  </si>
  <si>
    <t xml:space="preserve">Chapter 8 — 1 year at 85 for 100</t>
  </si>
  <si>
    <t xml:space="preserve">~18%</t>
  </si>
  <si>
    <t xml:space="preserve">Chapter 8 — 3 years at 85 for 100</t>
  </si>
  <si>
    <t xml:space="preserve">~5.5%</t>
  </si>
  <si>
    <t xml:space="preserve">Chapter 8 — 5 years at 85 for 100</t>
  </si>
  <si>
    <t xml:space="preserve">~3.3%</t>
  </si>
  <si>
    <t xml:space="preserve">Chapter 8 — MOIC at any duration</t>
  </si>
  <si>
    <t xml:space="preserve">1.18x</t>
  </si>
  <si>
    <t xml:space="preserve">Figures agreeing with the chapter</t>
  </si>
  <si>
    <t xml:space="preserve">Change any assumption on sheet 1 and figures here will go OUT — that is the point. They agree with the chapter on the chapter's own assumptions, and they stop agreeing the moment you price a different deal.</t>
  </si>
</sst>
</file>

<file path=xl/styles.xml><?xml version="1.0" encoding="utf-8"?>
<styleSheet xmlns="http://schemas.openxmlformats.org/spreadsheetml/2006/main">
  <numFmts count="6">
    <numFmt numFmtId="164" formatCode="General"/>
    <numFmt numFmtId="165" formatCode="#,##0.00;\(#,##0.00\);\-"/>
    <numFmt numFmtId="166" formatCode="0.0%"/>
    <numFmt numFmtId="167" formatCode="0"/>
    <numFmt numFmtId="168" formatCode="0.00\x"/>
    <numFmt numFmtId="169" formatCode="0.00%"/>
  </numFmts>
  <fonts count="14">
    <font>
      <sz val="11"/>
      <color theme="1"/>
      <name val="Calibri"/>
      <family val="2"/>
      <charset val="1"/>
    </font>
    <font>
      <sz val="10"/>
      <name val="Arial"/>
      <family val="0"/>
    </font>
    <font>
      <sz val="10"/>
      <name val="Arial"/>
      <family val="0"/>
    </font>
    <font>
      <sz val="10"/>
      <name val="Arial"/>
      <family val="0"/>
    </font>
    <font>
      <b val="true"/>
      <sz val="14"/>
      <color rgb="FF14171D"/>
      <name val="Arial"/>
      <family val="0"/>
      <charset val="1"/>
    </font>
    <font>
      <i val="true"/>
      <sz val="9"/>
      <color rgb="FF555555"/>
      <name val="Arial"/>
      <family val="0"/>
      <charset val="1"/>
    </font>
    <font>
      <sz val="10"/>
      <name val="Arial"/>
      <family val="0"/>
      <charset val="1"/>
    </font>
    <font>
      <b val="true"/>
      <sz val="11"/>
      <color rgb="FF14171D"/>
      <name val="Arial"/>
      <family val="0"/>
      <charset val="1"/>
    </font>
    <font>
      <sz val="10"/>
      <color rgb="FF0000FF"/>
      <name val="Arial"/>
      <family val="0"/>
      <charset val="1"/>
    </font>
    <font>
      <sz val="9"/>
      <color rgb="FF555555"/>
      <name val="Arial"/>
      <family val="0"/>
      <charset val="1"/>
    </font>
    <font>
      <b val="true"/>
      <sz val="10"/>
      <color rgb="FFFFFFFF"/>
      <name val="Arial"/>
      <family val="0"/>
      <charset val="1"/>
    </font>
    <font>
      <b val="true"/>
      <sz val="10"/>
      <name val="Arial"/>
      <family val="0"/>
      <charset val="1"/>
    </font>
    <font>
      <sz val="10"/>
      <name val="Arial"/>
      <family val="2"/>
    </font>
    <font>
      <sz val="10"/>
      <color rgb="FF008000"/>
      <name val="Arial"/>
      <family val="0"/>
      <charset val="1"/>
    </font>
  </fonts>
  <fills count="5">
    <fill>
      <patternFill patternType="none"/>
    </fill>
    <fill>
      <patternFill patternType="gray125"/>
    </fill>
    <fill>
      <patternFill patternType="solid">
        <fgColor rgb="FFFFFF00"/>
        <bgColor rgb="FFFFFF00"/>
      </patternFill>
    </fill>
    <fill>
      <patternFill patternType="solid">
        <fgColor rgb="FF14171D"/>
        <bgColor rgb="FF000000"/>
      </patternFill>
    </fill>
    <fill>
      <patternFill patternType="solid">
        <fgColor rgb="FFEAF1FB"/>
        <bgColor rgb="FFFFFFFF"/>
      </patternFill>
    </fill>
  </fills>
  <borders count="3">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style="thin">
        <color rgb="FF333333"/>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8" fillId="2"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7" fontId="8" fillId="2"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0" fillId="3" borderId="1" xfId="0" applyFont="true" applyBorder="true" applyAlignment="true" applyProtection="false">
      <alignment horizontal="center" vertical="bottom" textRotation="0" wrapText="true" indent="0" shrinkToFit="false"/>
      <protection locked="true" hidden="false"/>
    </xf>
    <xf numFmtId="167" fontId="6" fillId="0" borderId="1" xfId="0" applyFont="true" applyBorder="true" applyAlignment="false" applyProtection="false">
      <alignment horizontal="general" vertical="bottom" textRotation="0" wrapText="false" indent="0" shrinkToFit="false"/>
      <protection locked="true" hidden="false"/>
    </xf>
    <xf numFmtId="166" fontId="8" fillId="4" borderId="1" xfId="0" applyFont="true" applyBorder="true" applyAlignment="false" applyProtection="false">
      <alignment horizontal="general" vertical="bottom" textRotation="0" wrapText="false" indent="0" shrinkToFit="false"/>
      <protection locked="true" hidden="false"/>
    </xf>
    <xf numFmtId="165" fontId="6" fillId="0" borderId="1" xfId="0" applyFont="true" applyBorder="true" applyAlignment="false" applyProtection="false">
      <alignment horizontal="general" vertical="bottom" textRotation="0" wrapText="false" indent="0" shrinkToFit="false"/>
      <protection locked="true" hidden="false"/>
    </xf>
    <xf numFmtId="165" fontId="8" fillId="4" borderId="1"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6" fontId="11" fillId="0" borderId="2" xfId="0" applyFont="true" applyBorder="true" applyAlignment="false" applyProtection="false">
      <alignment horizontal="general" vertical="bottom" textRotation="0" wrapText="false" indent="0" shrinkToFit="false"/>
      <protection locked="true" hidden="false"/>
    </xf>
    <xf numFmtId="165" fontId="11" fillId="0" borderId="2" xfId="0" applyFont="true" applyBorder="true" applyAlignment="false" applyProtection="false">
      <alignment horizontal="general" vertical="bottom" textRotation="0" wrapText="false" indent="0" shrinkToFit="false"/>
      <protection locked="true" hidden="false"/>
    </xf>
    <xf numFmtId="167" fontId="8" fillId="4"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5" fontId="11" fillId="0"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8" fontId="11" fillId="2" borderId="1" xfId="0" applyFont="true" applyBorder="true" applyAlignment="false" applyProtection="false">
      <alignment horizontal="general" vertical="bottom" textRotation="0" wrapText="false" indent="0" shrinkToFit="false"/>
      <protection locked="true" hidden="false"/>
    </xf>
    <xf numFmtId="169" fontId="11" fillId="2" borderId="1" xfId="0" applyFont="true" applyBorder="true" applyAlignment="false" applyProtection="false">
      <alignment horizontal="general" vertical="bottom" textRotation="0" wrapText="false" indent="0" shrinkToFit="false"/>
      <protection locked="true" hidden="false"/>
    </xf>
    <xf numFmtId="169" fontId="6" fillId="0" borderId="1" xfId="0" applyFont="true" applyBorder="true" applyAlignment="false" applyProtection="false">
      <alignment horizontal="general" vertical="bottom" textRotation="0" wrapText="false" indent="0" shrinkToFit="false"/>
      <protection locked="true" hidden="false"/>
    </xf>
    <xf numFmtId="168" fontId="6" fillId="0" borderId="1" xfId="0" applyFont="true" applyBorder="true" applyAlignment="false" applyProtection="false">
      <alignment horizontal="general" vertical="bottom" textRotation="0" wrapText="false" indent="0" shrinkToFit="false"/>
      <protection locked="true" hidden="false"/>
    </xf>
    <xf numFmtId="169" fontId="11" fillId="0" borderId="1" xfId="0" applyFont="true" applyBorder="true" applyAlignment="false" applyProtection="false">
      <alignment horizontal="general" vertical="bottom" textRotation="0" wrapText="false" indent="0" shrinkToFit="false"/>
      <protection locked="true" hidden="false"/>
    </xf>
    <xf numFmtId="169" fontId="8" fillId="0" borderId="1" xfId="0" applyFont="true" applyBorder="true" applyAlignment="false" applyProtection="false">
      <alignment horizontal="general" vertical="bottom" textRotation="0" wrapText="false" indent="0" shrinkToFit="false"/>
      <protection locked="true" hidden="false"/>
    </xf>
    <xf numFmtId="166" fontId="8" fillId="2" borderId="1" xfId="0" applyFont="true" applyBorder="tru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6" fontId="11" fillId="2" borderId="0" xfId="0" applyFont="tru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6" fontId="6" fillId="0" borderId="0" xfId="0" applyFont="true" applyBorder="false" applyAlignment="false" applyProtection="false">
      <alignment horizontal="general" vertical="bottom" textRotation="0" wrapText="false" indent="0" shrinkToFit="false"/>
      <protection locked="true" hidden="false"/>
    </xf>
    <xf numFmtId="166" fontId="11" fillId="0" borderId="0" xfId="0" applyFont="true" applyBorder="false" applyAlignment="false" applyProtection="false">
      <alignment horizontal="general" vertical="bottom" textRotation="0" wrapText="false" indent="0" shrinkToFit="false"/>
      <protection locked="true" hidden="false"/>
    </xf>
    <xf numFmtId="166"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8" fillId="2" borderId="1" xfId="0" applyFont="true" applyBorder="true" applyAlignment="false" applyProtection="false">
      <alignment horizontal="general" vertical="bottom" textRotation="0" wrapText="false" indent="0" shrinkToFit="false"/>
      <protection locked="true" hidden="false"/>
    </xf>
    <xf numFmtId="168" fontId="13" fillId="0" borderId="1" xfId="0" applyFont="true" applyBorder="true" applyAlignment="false" applyProtection="false">
      <alignment horizontal="general" vertical="bottom" textRotation="0" wrapText="false" indent="0" shrinkToFit="false"/>
      <protection locked="true" hidden="false"/>
    </xf>
    <xf numFmtId="169" fontId="13" fillId="0"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5" fontId="13" fillId="0" borderId="1" xfId="0" applyFont="true" applyBorder="true" applyAlignment="false" applyProtection="false">
      <alignment horizontal="general" vertical="bottom" textRotation="0" wrapText="false" indent="0" shrinkToFit="false"/>
      <protection locked="true" hidden="false"/>
    </xf>
    <xf numFmtId="166" fontId="13" fillId="0" borderId="1" xfId="0" applyFont="true" applyBorder="true" applyAlignment="false" applyProtection="false">
      <alignment horizontal="general" vertical="bottom" textRotation="0" wrapText="false" indent="0" shrinkToFit="false"/>
      <protection locked="true" hidden="false"/>
    </xf>
    <xf numFmtId="167" fontId="13" fillId="0" borderId="1" xfId="0" applyFont="true" applyBorder="true" applyAlignment="false" applyProtection="false">
      <alignment horizontal="general" vertical="bottom" textRotation="0" wrapText="fals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7" fontId="11"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08080"/>
      <rgbColor rgb="FF9999FF"/>
      <rgbColor rgb="FF993366"/>
      <rgbColor rgb="FFFFFFCC"/>
      <rgbColor rgb="FFEAF1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14171D"/>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2"/>
  </cols>
  <sheetData>
    <row r="1" customFormat="false" ht="17.35" hidden="false" customHeight="false" outlineLevel="0" collapsed="false">
      <c r="A1" s="1" t="s">
        <v>0</v>
      </c>
    </row>
    <row r="2" customFormat="false" ht="15" hidden="false" customHeight="false" outlineLevel="0" collapsed="false">
      <c r="A2" s="2" t="s">
        <v>1</v>
      </c>
    </row>
    <row r="5" customFormat="false" ht="35.05" hidden="false" customHeight="false" outlineLevel="0" collapsed="false">
      <c r="A5" s="3" t="s">
        <v>2</v>
      </c>
    </row>
    <row r="7" customFormat="false" ht="15" hidden="false" customHeight="false" outlineLevel="0" collapsed="false">
      <c r="A7" s="4" t="s">
        <v>3</v>
      </c>
    </row>
    <row r="8" customFormat="false" ht="23.85" hidden="false" customHeight="false" outlineLevel="0" collapsed="false">
      <c r="A8" s="3" t="s">
        <v>4</v>
      </c>
    </row>
    <row r="10" customFormat="false" ht="15" hidden="false" customHeight="false" outlineLevel="0" collapsed="false">
      <c r="A10" s="4" t="s">
        <v>5</v>
      </c>
    </row>
    <row r="11" customFormat="false" ht="15" hidden="false" customHeight="false" outlineLevel="0" collapsed="false">
      <c r="A11" s="3" t="s">
        <v>6</v>
      </c>
    </row>
    <row r="12" customFormat="false" ht="15" hidden="false" customHeight="false" outlineLevel="0" collapsed="false">
      <c r="A12" s="3" t="s">
        <v>7</v>
      </c>
    </row>
    <row r="13" customFormat="false" ht="23.85" hidden="false" customHeight="false" outlineLevel="0" collapsed="false">
      <c r="A13" s="3" t="s">
        <v>8</v>
      </c>
    </row>
    <row r="14" customFormat="false" ht="15" hidden="false" customHeight="false" outlineLevel="0" collapsed="false">
      <c r="A14" s="3" t="s">
        <v>9</v>
      </c>
    </row>
    <row r="15" customFormat="false" ht="15" hidden="false" customHeight="false" outlineLevel="0" collapsed="false">
      <c r="A15" s="3" t="s">
        <v>10</v>
      </c>
    </row>
    <row r="17" customFormat="false" ht="15" hidden="false" customHeight="false" outlineLevel="0" collapsed="false">
      <c r="A17" s="4" t="s">
        <v>11</v>
      </c>
    </row>
    <row r="18" customFormat="false" ht="23.85" hidden="false" customHeight="false" outlineLevel="0" collapsed="false">
      <c r="A18" s="3" t="s">
        <v>12</v>
      </c>
    </row>
    <row r="20" customFormat="false" ht="23.85" hidden="false" customHeight="false" outlineLevel="0" collapsed="false">
      <c r="A20" s="3" t="s">
        <v>13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7" min="2" style="0" width="14"/>
    <col collapsed="false" customWidth="true" hidden="false" outlineLevel="0" max="8" min="8" style="0" width="40"/>
  </cols>
  <sheetData>
    <row r="1" customFormat="false" ht="17.35" hidden="false" customHeight="false" outlineLevel="0" collapsed="false">
      <c r="A1" s="1" t="s">
        <v>14</v>
      </c>
    </row>
    <row r="2" customFormat="false" ht="15" hidden="false" customHeight="false" outlineLevel="0" collapsed="false">
      <c r="A2" s="2" t="s">
        <v>15</v>
      </c>
    </row>
    <row r="4" customFormat="false" ht="15" hidden="false" customHeight="false" outlineLevel="0" collapsed="false">
      <c r="A4" s="5" t="s">
        <v>16</v>
      </c>
    </row>
    <row r="5" customFormat="false" ht="15" hidden="false" customHeight="false" outlineLevel="0" collapsed="false">
      <c r="A5" s="6" t="s">
        <v>17</v>
      </c>
      <c r="C5" s="7" t="n">
        <v>100</v>
      </c>
    </row>
    <row r="6" customFormat="false" ht="15" hidden="false" customHeight="false" outlineLevel="0" collapsed="false">
      <c r="A6" s="6" t="s">
        <v>18</v>
      </c>
      <c r="C6" s="7" t="n">
        <v>88</v>
      </c>
    </row>
    <row r="7" customFormat="false" ht="15" hidden="false" customHeight="false" outlineLevel="0" collapsed="false">
      <c r="A7" s="6" t="s">
        <v>19</v>
      </c>
      <c r="C7" s="8" t="n">
        <f aca="false">IFERROR(1-C6/C5,"")</f>
        <v>0.12</v>
      </c>
    </row>
    <row r="8" customFormat="false" ht="15" hidden="false" customHeight="false" outlineLevel="0" collapsed="false">
      <c r="A8" s="6" t="s">
        <v>20</v>
      </c>
      <c r="C8" s="7" t="n">
        <v>104</v>
      </c>
    </row>
    <row r="9" customFormat="false" ht="15" hidden="false" customHeight="false" outlineLevel="0" collapsed="false">
      <c r="A9" s="6" t="s">
        <v>21</v>
      </c>
      <c r="C9" s="8" t="n">
        <f aca="false">IFERROR(1-C6/C8,"")</f>
        <v>0.153846153846154</v>
      </c>
    </row>
    <row r="10" customFormat="false" ht="15" hidden="false" customHeight="false" outlineLevel="0" collapsed="false">
      <c r="A10" s="6" t="s">
        <v>22</v>
      </c>
      <c r="C10" s="7" t="n">
        <v>130</v>
      </c>
    </row>
    <row r="11" customFormat="false" ht="15" hidden="false" customHeight="false" outlineLevel="0" collapsed="false">
      <c r="A11" s="6" t="s">
        <v>23</v>
      </c>
      <c r="C11" s="8" t="n">
        <f aca="false">IFERROR(C10/C5-1,"")</f>
        <v>0.3</v>
      </c>
    </row>
    <row r="12" customFormat="false" ht="15" hidden="false" customHeight="false" outlineLevel="0" collapsed="false">
      <c r="A12" s="6" t="s">
        <v>24</v>
      </c>
      <c r="C12" s="9" t="n">
        <v>4</v>
      </c>
    </row>
    <row r="15" customFormat="false" ht="15" hidden="false" customHeight="false" outlineLevel="0" collapsed="false">
      <c r="A15" s="5" t="s">
        <v>25</v>
      </c>
    </row>
    <row r="16" customFormat="false" ht="15" hidden="false" customHeight="true" outlineLevel="0" collapsed="false">
      <c r="A16" s="10" t="s">
        <v>26</v>
      </c>
      <c r="B16" s="10"/>
      <c r="C16" s="10"/>
      <c r="D16" s="10"/>
      <c r="E16" s="10"/>
      <c r="F16" s="10"/>
      <c r="G16" s="10"/>
      <c r="H16" s="10"/>
    </row>
    <row r="17" customFormat="false" ht="15" hidden="false" customHeight="false" outlineLevel="0" collapsed="false">
      <c r="A17" s="10"/>
      <c r="B17" s="10"/>
      <c r="C17" s="10"/>
      <c r="D17" s="10"/>
      <c r="E17" s="10"/>
      <c r="F17" s="10"/>
      <c r="G17" s="10"/>
      <c r="H17" s="10"/>
    </row>
    <row r="19" customFormat="false" ht="35.05" hidden="false" customHeight="false" outlineLevel="0" collapsed="false">
      <c r="A19" s="11" t="s">
        <v>27</v>
      </c>
      <c r="B19" s="11" t="s">
        <v>28</v>
      </c>
      <c r="C19" s="11" t="s">
        <v>29</v>
      </c>
      <c r="D19" s="11" t="s">
        <v>30</v>
      </c>
      <c r="E19" s="11" t="s">
        <v>31</v>
      </c>
    </row>
    <row r="20" customFormat="false" ht="15" hidden="false" customHeight="false" outlineLevel="0" collapsed="false">
      <c r="A20" s="12" t="n">
        <v>1</v>
      </c>
      <c r="B20" s="13" t="n">
        <v>0.154</v>
      </c>
      <c r="C20" s="14" t="n">
        <f aca="false">IFERROR($C$10*B20,0)</f>
        <v>20.02</v>
      </c>
      <c r="D20" s="15" t="n">
        <v>2</v>
      </c>
      <c r="E20" s="14" t="n">
        <f aca="false">C20-D20</f>
        <v>18.02</v>
      </c>
    </row>
    <row r="21" customFormat="false" ht="15" hidden="false" customHeight="false" outlineLevel="0" collapsed="false">
      <c r="A21" s="12" t="n">
        <v>2</v>
      </c>
      <c r="B21" s="13" t="n">
        <v>0.231</v>
      </c>
      <c r="C21" s="14" t="n">
        <f aca="false">IFERROR($C$10*B21,0)</f>
        <v>30.03</v>
      </c>
      <c r="D21" s="15" t="n">
        <v>0</v>
      </c>
      <c r="E21" s="14" t="n">
        <f aca="false">C21-D21</f>
        <v>30.03</v>
      </c>
    </row>
    <row r="22" customFormat="false" ht="15" hidden="false" customHeight="false" outlineLevel="0" collapsed="false">
      <c r="A22" s="12" t="n">
        <v>3</v>
      </c>
      <c r="B22" s="13" t="n">
        <v>0.308</v>
      </c>
      <c r="C22" s="14" t="n">
        <f aca="false">IFERROR($C$10*B22,0)</f>
        <v>40.04</v>
      </c>
      <c r="D22" s="15" t="n">
        <v>0</v>
      </c>
      <c r="E22" s="14" t="n">
        <f aca="false">C22-D22</f>
        <v>40.04</v>
      </c>
    </row>
    <row r="23" customFormat="false" ht="15" hidden="false" customHeight="false" outlineLevel="0" collapsed="false">
      <c r="A23" s="12" t="n">
        <v>4</v>
      </c>
      <c r="B23" s="13" t="n">
        <v>0.308</v>
      </c>
      <c r="C23" s="14" t="n">
        <f aca="false">IFERROR($C$10*B23,0)</f>
        <v>40.04</v>
      </c>
      <c r="D23" s="15" t="n">
        <v>0</v>
      </c>
      <c r="E23" s="14" t="n">
        <f aca="false">C23-D23</f>
        <v>40.04</v>
      </c>
    </row>
    <row r="24" customFormat="false" ht="15" hidden="false" customHeight="false" outlineLevel="0" collapsed="false">
      <c r="A24" s="12" t="n">
        <v>5</v>
      </c>
      <c r="B24" s="13" t="n">
        <v>0</v>
      </c>
      <c r="C24" s="14" t="n">
        <f aca="false">IFERROR($C$10*B24,0)</f>
        <v>0</v>
      </c>
      <c r="D24" s="15" t="n">
        <v>0</v>
      </c>
      <c r="E24" s="14" t="n">
        <f aca="false">C24-D24</f>
        <v>0</v>
      </c>
    </row>
    <row r="25" customFormat="false" ht="15" hidden="false" customHeight="false" outlineLevel="0" collapsed="false">
      <c r="A25" s="12" t="n">
        <v>6</v>
      </c>
      <c r="B25" s="13" t="n">
        <v>0</v>
      </c>
      <c r="C25" s="14" t="n">
        <f aca="false">IFERROR($C$10*B25,0)</f>
        <v>0</v>
      </c>
      <c r="D25" s="15" t="n">
        <v>0</v>
      </c>
      <c r="E25" s="14" t="n">
        <f aca="false">C25-D25</f>
        <v>0</v>
      </c>
    </row>
    <row r="26" customFormat="false" ht="15" hidden="false" customHeight="false" outlineLevel="0" collapsed="false">
      <c r="A26" s="12" t="n">
        <v>7</v>
      </c>
      <c r="B26" s="13" t="n">
        <v>0</v>
      </c>
      <c r="C26" s="14" t="n">
        <f aca="false">IFERROR($C$10*B26,0)</f>
        <v>0</v>
      </c>
      <c r="D26" s="15" t="n">
        <v>0</v>
      </c>
      <c r="E26" s="14" t="n">
        <f aca="false">C26-D26</f>
        <v>0</v>
      </c>
    </row>
    <row r="27" customFormat="false" ht="15" hidden="false" customHeight="false" outlineLevel="0" collapsed="false">
      <c r="A27" s="12" t="n">
        <v>8</v>
      </c>
      <c r="B27" s="13" t="n">
        <v>0</v>
      </c>
      <c r="C27" s="14" t="n">
        <f aca="false">IFERROR($C$10*B27,0)</f>
        <v>0</v>
      </c>
      <c r="D27" s="15" t="n">
        <v>0</v>
      </c>
      <c r="E27" s="14" t="n">
        <f aca="false">C27-D27</f>
        <v>0</v>
      </c>
    </row>
    <row r="28" customFormat="false" ht="15" hidden="false" customHeight="false" outlineLevel="0" collapsed="false">
      <c r="A28" s="16" t="s">
        <v>32</v>
      </c>
      <c r="B28" s="17" t="n">
        <f aca="false">SUM(B20:B27)</f>
        <v>1.001</v>
      </c>
      <c r="C28" s="18" t="n">
        <f aca="false">SUM(C20:C27)</f>
        <v>130.13</v>
      </c>
      <c r="D28" s="18" t="n">
        <f aca="false">SUM(D20:D27)</f>
        <v>2</v>
      </c>
      <c r="E28" s="18" t="n">
        <f aca="false">SUM(E20:E27)</f>
        <v>128.13</v>
      </c>
    </row>
    <row r="30" customFormat="false" ht="15" hidden="false" customHeight="false" outlineLevel="0" collapsed="false">
      <c r="A30" s="6" t="s">
        <v>33</v>
      </c>
      <c r="C30" s="16" t="str">
        <f aca="false">IF(ABS(B28-1)&lt;0.0005,"OK","CHECK — the shares do not total 100%")</f>
        <v>CHECK — the shares do not total 100%</v>
      </c>
    </row>
    <row r="31" customFormat="false" ht="15" hidden="false" customHeight="false" outlineLevel="0" collapsed="false">
      <c r="A31" s="6" t="s">
        <v>34</v>
      </c>
      <c r="C31" s="16" t="str">
        <f aca="false">IF(ABS(C28-C10)&lt;0.05,"OK","CHECK")</f>
        <v>CHECK</v>
      </c>
    </row>
    <row r="33" customFormat="false" ht="15" hidden="false" customHeight="true" outlineLevel="0" collapsed="false">
      <c r="A33" s="10" t="s">
        <v>35</v>
      </c>
      <c r="B33" s="10"/>
      <c r="C33" s="10"/>
      <c r="D33" s="10"/>
      <c r="E33" s="10"/>
      <c r="F33" s="10"/>
      <c r="G33" s="10"/>
      <c r="H33" s="10"/>
    </row>
    <row r="34" customFormat="false" ht="15" hidden="false" customHeight="false" outlineLevel="0" collapsed="false">
      <c r="A34" s="10"/>
      <c r="B34" s="10"/>
      <c r="C34" s="10"/>
      <c r="D34" s="10"/>
      <c r="E34" s="10"/>
      <c r="F34" s="10"/>
      <c r="G34" s="10"/>
      <c r="H34" s="10"/>
    </row>
    <row r="35" customFormat="false" ht="15" hidden="false" customHeight="false" outlineLevel="0" collapsed="false">
      <c r="A35" s="10"/>
      <c r="B35" s="10"/>
      <c r="C35" s="10"/>
      <c r="D35" s="10"/>
      <c r="E35" s="10"/>
      <c r="F35" s="10"/>
      <c r="G35" s="10"/>
      <c r="H35" s="10"/>
    </row>
    <row r="37" customFormat="false" ht="15" hidden="false" customHeight="false" outlineLevel="0" collapsed="false">
      <c r="A37" s="5" t="s">
        <v>36</v>
      </c>
    </row>
    <row r="38" customFormat="false" ht="15" hidden="false" customHeight="false" outlineLevel="0" collapsed="false">
      <c r="A38" s="6" t="s">
        <v>37</v>
      </c>
      <c r="C38" s="13" t="n">
        <v>0</v>
      </c>
    </row>
    <row r="39" customFormat="false" ht="15" hidden="false" customHeight="false" outlineLevel="0" collapsed="false">
      <c r="A39" s="6" t="s">
        <v>38</v>
      </c>
      <c r="C39" s="19" t="n">
        <v>1</v>
      </c>
    </row>
    <row r="40" customFormat="false" ht="15" hidden="false" customHeight="false" outlineLevel="0" collapsed="false">
      <c r="A40" s="6" t="s">
        <v>39</v>
      </c>
      <c r="C40" s="13" t="n">
        <v>0</v>
      </c>
    </row>
    <row r="41" customFormat="false" ht="15" hidden="false" customHeight="false" outlineLevel="0" collapsed="false">
      <c r="A41" s="6" t="s">
        <v>40</v>
      </c>
      <c r="C41" s="15" t="n">
        <v>0</v>
      </c>
    </row>
    <row r="42" customFormat="false" ht="15" hidden="false" customHeight="false" outlineLevel="0" collapsed="false">
      <c r="A42" s="6" t="s">
        <v>41</v>
      </c>
      <c r="C42" s="13" t="n">
        <v>0</v>
      </c>
    </row>
    <row r="43" customFormat="false" ht="15" hidden="false" customHeight="false" outlineLevel="0" collapsed="false">
      <c r="A43" s="6" t="s">
        <v>42</v>
      </c>
      <c r="C43" s="19" t="n">
        <v>2</v>
      </c>
    </row>
    <row r="45" customFormat="false" ht="15" hidden="false" customHeight="true" outlineLevel="0" collapsed="false">
      <c r="A45" s="10" t="s">
        <v>43</v>
      </c>
      <c r="B45" s="10"/>
      <c r="C45" s="10"/>
      <c r="D45" s="10"/>
      <c r="E45" s="10"/>
      <c r="F45" s="10"/>
      <c r="G45" s="10"/>
      <c r="H45" s="10"/>
    </row>
    <row r="46" customFormat="false" ht="15" hidden="false" customHeight="false" outlineLevel="0" collapsed="false">
      <c r="A46" s="10"/>
      <c r="B46" s="10"/>
      <c r="C46" s="10"/>
      <c r="D46" s="10"/>
      <c r="E46" s="10"/>
      <c r="F46" s="10"/>
      <c r="G46" s="10"/>
      <c r="H46" s="10"/>
    </row>
    <row r="47" customFormat="false" ht="15" hidden="false" customHeight="false" outlineLevel="0" collapsed="false">
      <c r="A47" s="10"/>
      <c r="B47" s="10"/>
      <c r="C47" s="10"/>
      <c r="D47" s="10"/>
      <c r="E47" s="10"/>
      <c r="F47" s="10"/>
      <c r="G47" s="10"/>
      <c r="H47" s="10"/>
    </row>
    <row r="49" customFormat="false" ht="15" hidden="false" customHeight="false" outlineLevel="0" collapsed="false">
      <c r="A49" s="5" t="s">
        <v>44</v>
      </c>
    </row>
    <row r="50" customFormat="false" ht="15" hidden="false" customHeight="false" outlineLevel="0" collapsed="false">
      <c r="A50" s="11" t="s">
        <v>45</v>
      </c>
      <c r="B50" s="11" t="s">
        <v>46</v>
      </c>
      <c r="C50" s="11" t="s">
        <v>47</v>
      </c>
      <c r="D50" s="11" t="s">
        <v>48</v>
      </c>
      <c r="E50" s="11" t="s">
        <v>49</v>
      </c>
      <c r="F50" s="11" t="s">
        <v>50</v>
      </c>
      <c r="G50" s="11" t="s">
        <v>51</v>
      </c>
      <c r="H50" s="11" t="s">
        <v>52</v>
      </c>
      <c r="I50" s="11" t="s">
        <v>53</v>
      </c>
      <c r="J50" s="11" t="s">
        <v>54</v>
      </c>
    </row>
    <row r="51" customFormat="false" ht="15" hidden="false" customHeight="false" outlineLevel="0" collapsed="false">
      <c r="A51" s="20" t="s">
        <v>55</v>
      </c>
      <c r="B51" s="14" t="n">
        <f aca="false">-($C$6-$C$6*$C$38)</f>
        <v>-88</v>
      </c>
      <c r="C51" s="14" t="s">
        <v>46</v>
      </c>
      <c r="D51" s="14" t="s">
        <v>46</v>
      </c>
      <c r="E51" s="14" t="s">
        <v>46</v>
      </c>
      <c r="F51" s="14" t="s">
        <v>46</v>
      </c>
      <c r="G51" s="14" t="s">
        <v>46</v>
      </c>
      <c r="H51" s="14" t="s">
        <v>46</v>
      </c>
      <c r="I51" s="14" t="s">
        <v>46</v>
      </c>
      <c r="J51" s="14" t="s">
        <v>46</v>
      </c>
    </row>
    <row r="52" customFormat="false" ht="15" hidden="false" customHeight="false" outlineLevel="0" collapsed="false">
      <c r="A52" s="20" t="s">
        <v>56</v>
      </c>
      <c r="B52" s="14" t="n">
        <f aca="false">$C$41</f>
        <v>0</v>
      </c>
      <c r="C52" s="14" t="s">
        <v>46</v>
      </c>
      <c r="D52" s="14" t="s">
        <v>46</v>
      </c>
      <c r="E52" s="14" t="s">
        <v>46</v>
      </c>
      <c r="F52" s="14" t="s">
        <v>46</v>
      </c>
      <c r="G52" s="14" t="s">
        <v>46</v>
      </c>
      <c r="H52" s="14" t="s">
        <v>46</v>
      </c>
      <c r="I52" s="14" t="s">
        <v>46</v>
      </c>
      <c r="J52" s="14" t="s">
        <v>46</v>
      </c>
    </row>
    <row r="53" customFormat="false" ht="15" hidden="false" customHeight="false" outlineLevel="0" collapsed="false">
      <c r="A53" s="20" t="s">
        <v>57</v>
      </c>
      <c r="B53" s="14" t="n">
        <f aca="false">IF(AND($C$38&gt;0,0=$C$39),-$C$6*$C$38*(1+$C$40)^$C$39,0)</f>
        <v>0</v>
      </c>
      <c r="C53" s="14" t="n">
        <f aca="false">IF(AND($C$38&gt;0,1=$C$39),-$C$6*$C$38*(1+$C$40)^$C$39,0)</f>
        <v>0</v>
      </c>
      <c r="D53" s="14" t="n">
        <f aca="false">IF(AND($C$38&gt;0,2=$C$39),-$C$6*$C$38*(1+$C$40)^$C$39,0)</f>
        <v>0</v>
      </c>
      <c r="E53" s="14" t="n">
        <f aca="false">IF(AND($C$38&gt;0,3=$C$39),-$C$6*$C$38*(1+$C$40)^$C$39,0)</f>
        <v>0</v>
      </c>
      <c r="F53" s="14" t="n">
        <f aca="false">IF(AND($C$38&gt;0,4=$C$39),-$C$6*$C$38*(1+$C$40)^$C$39,0)</f>
        <v>0</v>
      </c>
      <c r="G53" s="14" t="n">
        <f aca="false">IF(AND($C$38&gt;0,5=$C$39),-$C$6*$C$38*(1+$C$40)^$C$39,0)</f>
        <v>0</v>
      </c>
      <c r="H53" s="14" t="n">
        <f aca="false">IF(AND($C$38&gt;0,6=$C$39),-$C$6*$C$38*(1+$C$40)^$C$39,0)</f>
        <v>0</v>
      </c>
      <c r="I53" s="14" t="n">
        <f aca="false">IF(AND($C$38&gt;0,7=$C$39),-$C$6*$C$38*(1+$C$40)^$C$39,0)</f>
        <v>0</v>
      </c>
      <c r="J53" s="14" t="n">
        <f aca="false">IF(AND($C$38&gt;0,8=$C$39),-$C$6*$C$38*(1+$C$40)^$C$39,0)</f>
        <v>0</v>
      </c>
    </row>
    <row r="54" customFormat="false" ht="15" hidden="false" customHeight="false" outlineLevel="0" collapsed="false">
      <c r="A54" s="20" t="s">
        <v>58</v>
      </c>
      <c r="B54" s="14" t="n">
        <f aca="false">IF(AND($C$41&gt;0,0=$C$43),-$C$41*(1+$C$42)^$C$43,0)</f>
        <v>0</v>
      </c>
      <c r="C54" s="14" t="n">
        <f aca="false">IF(AND($C$41&gt;0,1=$C$43),-$C$41*(1+$C$42)^$C$43,0)</f>
        <v>0</v>
      </c>
      <c r="D54" s="14" t="n">
        <f aca="false">IF(AND($C$41&gt;0,2=$C$43),-$C$41*(1+$C$42)^$C$43,0)</f>
        <v>0</v>
      </c>
      <c r="E54" s="14" t="n">
        <f aca="false">IF(AND($C$41&gt;0,3=$C$43),-$C$41*(1+$C$42)^$C$43,0)</f>
        <v>0</v>
      </c>
      <c r="F54" s="14" t="n">
        <f aca="false">IF(AND($C$41&gt;0,4=$C$43),-$C$41*(1+$C$42)^$C$43,0)</f>
        <v>0</v>
      </c>
      <c r="G54" s="14" t="n">
        <f aca="false">IF(AND($C$41&gt;0,5=$C$43),-$C$41*(1+$C$42)^$C$43,0)</f>
        <v>0</v>
      </c>
      <c r="H54" s="14" t="n">
        <f aca="false">IF(AND($C$41&gt;0,6=$C$43),-$C$41*(1+$C$42)^$C$43,0)</f>
        <v>0</v>
      </c>
      <c r="I54" s="14" t="n">
        <f aca="false">IF(AND($C$41&gt;0,7=$C$43),-$C$41*(1+$C$42)^$C$43,0)</f>
        <v>0</v>
      </c>
      <c r="J54" s="14" t="n">
        <f aca="false">IF(AND($C$41&gt;0,8=$C$43),-$C$41*(1+$C$42)^$C$43,0)</f>
        <v>0</v>
      </c>
    </row>
    <row r="55" customFormat="false" ht="15" hidden="false" customHeight="false" outlineLevel="0" collapsed="false">
      <c r="A55" s="20" t="s">
        <v>59</v>
      </c>
      <c r="B55" s="14" t="s">
        <v>46</v>
      </c>
      <c r="C55" s="14" t="n">
        <f aca="false">E20</f>
        <v>18.02</v>
      </c>
      <c r="D55" s="14" t="n">
        <f aca="false">E21</f>
        <v>30.03</v>
      </c>
      <c r="E55" s="14" t="n">
        <f aca="false">E22</f>
        <v>40.04</v>
      </c>
      <c r="F55" s="14" t="n">
        <f aca="false">E23</f>
        <v>40.04</v>
      </c>
      <c r="G55" s="14" t="n">
        <f aca="false">E24</f>
        <v>0</v>
      </c>
      <c r="H55" s="14" t="n">
        <f aca="false">E25</f>
        <v>0</v>
      </c>
      <c r="I55" s="14" t="n">
        <f aca="false">E26</f>
        <v>0</v>
      </c>
      <c r="J55" s="14" t="n">
        <f aca="false">E27</f>
        <v>0</v>
      </c>
    </row>
    <row r="56" customFormat="false" ht="15" hidden="false" customHeight="false" outlineLevel="0" collapsed="false">
      <c r="A56" s="21" t="s">
        <v>60</v>
      </c>
      <c r="B56" s="22" t="n">
        <f aca="false">SUM(B51:B55)</f>
        <v>-88</v>
      </c>
      <c r="C56" s="22" t="n">
        <f aca="false">SUM(C51:C55)</f>
        <v>18.02</v>
      </c>
      <c r="D56" s="22" t="n">
        <f aca="false">SUM(D51:D55)</f>
        <v>30.03</v>
      </c>
      <c r="E56" s="22" t="n">
        <f aca="false">SUM(E51:E55)</f>
        <v>40.04</v>
      </c>
      <c r="F56" s="22" t="n">
        <f aca="false">SUM(F51:F55)</f>
        <v>40.04</v>
      </c>
      <c r="G56" s="22" t="n">
        <f aca="false">SUM(G51:G55)</f>
        <v>0</v>
      </c>
      <c r="H56" s="22" t="n">
        <f aca="false">SUM(H51:H55)</f>
        <v>0</v>
      </c>
      <c r="I56" s="22" t="n">
        <f aca="false">SUM(I51:I55)</f>
        <v>0</v>
      </c>
      <c r="J56" s="22" t="n">
        <f aca="false">SUM(J51:J55)</f>
        <v>0</v>
      </c>
    </row>
  </sheetData>
  <mergeCells count="3">
    <mergeCell ref="A16:H17"/>
    <mergeCell ref="A33:H35"/>
    <mergeCell ref="A45:H4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2"/>
    <col collapsed="false" customWidth="true" hidden="false" outlineLevel="0" max="3" min="2" style="0" width="16"/>
    <col collapsed="false" customWidth="true" hidden="false" outlineLevel="0" max="5" min="4" style="0" width="20"/>
    <col collapsed="false" customWidth="true" hidden="false" outlineLevel="0" max="6" min="6" style="0" width="42"/>
  </cols>
  <sheetData>
    <row r="1" customFormat="false" ht="17.35" hidden="false" customHeight="false" outlineLevel="0" collapsed="false">
      <c r="A1" s="1" t="s">
        <v>61</v>
      </c>
    </row>
    <row r="2" customFormat="false" ht="15" hidden="false" customHeight="false" outlineLevel="0" collapsed="false">
      <c r="A2" s="2" t="s">
        <v>62</v>
      </c>
    </row>
    <row r="4" customFormat="false" ht="15" hidden="false" customHeight="false" outlineLevel="0" collapsed="false">
      <c r="A4" s="5" t="s">
        <v>63</v>
      </c>
    </row>
    <row r="5" customFormat="false" ht="15" hidden="false" customHeight="false" outlineLevel="0" collapsed="false">
      <c r="A5" s="11" t="s">
        <v>64</v>
      </c>
      <c r="B5" s="11" t="s">
        <v>65</v>
      </c>
      <c r="C5" s="11" t="s">
        <v>66</v>
      </c>
      <c r="D5" s="11" t="s">
        <v>67</v>
      </c>
    </row>
    <row r="6" customFormat="false" ht="15" hidden="false" customHeight="false" outlineLevel="0" collapsed="false">
      <c r="A6" s="20" t="s">
        <v>68</v>
      </c>
      <c r="B6" s="14" t="n">
        <f aca="false">-SUMIF('1. The Deal'!B51:J54,"&lt;0")</f>
        <v>88</v>
      </c>
      <c r="C6" s="23"/>
      <c r="D6" s="21"/>
    </row>
    <row r="7" customFormat="false" ht="15" hidden="false" customHeight="false" outlineLevel="0" collapsed="false">
      <c r="A7" s="20" t="s">
        <v>69</v>
      </c>
      <c r="B7" s="14" t="n">
        <f aca="false">SUM('1. The Deal'!B55:J55)</f>
        <v>128.13</v>
      </c>
      <c r="C7" s="23"/>
      <c r="D7" s="21"/>
    </row>
    <row r="8" customFormat="false" ht="15" hidden="false" customHeight="false" outlineLevel="0" collapsed="false">
      <c r="A8" s="21" t="s">
        <v>70</v>
      </c>
      <c r="B8" s="24" t="n">
        <f aca="false">IFERROR(SUM('1. The Deal'!B55:J55)/(-SUMIF('1. The Deal'!B51:J54,"&lt;0")),"")</f>
        <v>1.45602272727273</v>
      </c>
      <c r="C8" s="23" t="s">
        <v>71</v>
      </c>
      <c r="D8" s="21" t="str">
        <f aca="false">IF(B8="","",IF(AND(B8&gt;=1.4,B8&lt;=1.6),"yes","NO"))</f>
        <v>yes</v>
      </c>
    </row>
    <row r="9" customFormat="false" ht="15" hidden="false" customHeight="false" outlineLevel="0" collapsed="false">
      <c r="A9" s="21" t="s">
        <v>72</v>
      </c>
      <c r="B9" s="25" t="n">
        <f aca="false">IFERROR(IRR('1. The Deal'!B56:J56),"")</f>
        <v>0.14800386166172</v>
      </c>
      <c r="C9" s="23" t="s">
        <v>73</v>
      </c>
      <c r="D9" s="21" t="str">
        <f aca="false">IF(B9="","",IF(AND(B9&gt;=0.13,B9&lt;=0.17),"yes","NO"))</f>
        <v>yes</v>
      </c>
    </row>
    <row r="10" customFormat="false" ht="15" hidden="false" customHeight="false" outlineLevel="0" collapsed="false">
      <c r="A10" s="20" t="s">
        <v>74</v>
      </c>
      <c r="B10" s="12" t="n">
        <f aca="false">'1. The Deal'!C12</f>
        <v>4</v>
      </c>
      <c r="C10" s="23"/>
      <c r="D10" s="21"/>
    </row>
    <row r="11" customFormat="false" ht="15" hidden="false" customHeight="false" outlineLevel="0" collapsed="false">
      <c r="A11" s="20" t="s">
        <v>75</v>
      </c>
      <c r="B11" s="26" t="n">
        <f aca="false">IFERROR(B8^(1/B10)-1,"")</f>
        <v>0.0984797075071766</v>
      </c>
      <c r="C11" s="23"/>
      <c r="D11" s="21"/>
    </row>
    <row r="13" customFormat="false" ht="15" hidden="false" customHeight="true" outlineLevel="0" collapsed="false">
      <c r="A13" s="10" t="s">
        <v>76</v>
      </c>
      <c r="B13" s="10"/>
      <c r="C13" s="10"/>
      <c r="D13" s="10"/>
      <c r="E13" s="10"/>
      <c r="F13" s="10"/>
    </row>
    <row r="14" customFormat="false" ht="15" hidden="false" customHeight="false" outlineLevel="0" collapsed="false">
      <c r="A14" s="10"/>
      <c r="B14" s="10"/>
      <c r="C14" s="10"/>
      <c r="D14" s="10"/>
      <c r="E14" s="10"/>
      <c r="F14" s="10"/>
    </row>
    <row r="15" customFormat="false" ht="15" hidden="false" customHeight="false" outlineLevel="0" collapsed="false">
      <c r="A15" s="10"/>
      <c r="B15" s="10"/>
      <c r="C15" s="10"/>
      <c r="D15" s="10"/>
      <c r="E15" s="10"/>
      <c r="F15" s="10"/>
    </row>
    <row r="17" customFormat="false" ht="15" hidden="false" customHeight="false" outlineLevel="0" collapsed="false">
      <c r="A17" s="5" t="s">
        <v>77</v>
      </c>
    </row>
    <row r="18" customFormat="false" ht="15" hidden="false" customHeight="true" outlineLevel="0" collapsed="false">
      <c r="A18" s="10" t="s">
        <v>78</v>
      </c>
      <c r="B18" s="10"/>
      <c r="C18" s="10"/>
      <c r="D18" s="10"/>
      <c r="E18" s="10"/>
      <c r="F18" s="10"/>
      <c r="G18" s="10"/>
      <c r="H18" s="10"/>
    </row>
    <row r="19" customFormat="false" ht="15" hidden="false" customHeight="false" outlineLevel="0" collapsed="false">
      <c r="A19" s="10"/>
      <c r="B19" s="10"/>
      <c r="C19" s="10"/>
      <c r="D19" s="10"/>
      <c r="E19" s="10"/>
      <c r="F19" s="10"/>
      <c r="G19" s="10"/>
      <c r="H19" s="10"/>
    </row>
    <row r="21" customFormat="false" ht="15" hidden="false" customHeight="false" outlineLevel="0" collapsed="false">
      <c r="A21" s="11" t="s">
        <v>79</v>
      </c>
      <c r="B21" s="11" t="s">
        <v>80</v>
      </c>
      <c r="C21" s="11" t="s">
        <v>81</v>
      </c>
      <c r="D21" s="11" t="s">
        <v>70</v>
      </c>
      <c r="E21" s="11" t="s">
        <v>72</v>
      </c>
      <c r="F21" s="11" t="s">
        <v>82</v>
      </c>
    </row>
    <row r="22" customFormat="false" ht="15" hidden="false" customHeight="false" outlineLevel="0" collapsed="false">
      <c r="A22" s="12" t="n">
        <v>1</v>
      </c>
      <c r="B22" s="15" t="n">
        <v>85</v>
      </c>
      <c r="C22" s="15" t="n">
        <v>100</v>
      </c>
      <c r="D22" s="27" t="n">
        <f aca="false">IFERROR(C22/B22,"")</f>
        <v>1.17647058823529</v>
      </c>
      <c r="E22" s="28" t="n">
        <f aca="false">IFERROR((C22/B22)^(1/A22)-1,"")</f>
        <v>0.176470588235294</v>
      </c>
      <c r="F22" s="29" t="n">
        <v>0.18</v>
      </c>
    </row>
    <row r="23" customFormat="false" ht="15" hidden="false" customHeight="false" outlineLevel="0" collapsed="false">
      <c r="A23" s="12" t="n">
        <v>2</v>
      </c>
      <c r="B23" s="15" t="n">
        <v>85</v>
      </c>
      <c r="C23" s="15" t="n">
        <v>100</v>
      </c>
      <c r="D23" s="27" t="n">
        <f aca="false">IFERROR(C23/B23,"")</f>
        <v>1.17647058823529</v>
      </c>
      <c r="E23" s="28" t="n">
        <f aca="false">IFERROR((C23/B23)^(1/A23)-1,"")</f>
        <v>0.0846522890932808</v>
      </c>
      <c r="F23" s="29"/>
    </row>
    <row r="24" customFormat="false" ht="15" hidden="false" customHeight="false" outlineLevel="0" collapsed="false">
      <c r="A24" s="12" t="n">
        <v>3</v>
      </c>
      <c r="B24" s="15" t="n">
        <v>85</v>
      </c>
      <c r="C24" s="15" t="n">
        <v>100</v>
      </c>
      <c r="D24" s="27" t="n">
        <f aca="false">IFERROR(C24/B24,"")</f>
        <v>1.17647058823529</v>
      </c>
      <c r="E24" s="28" t="n">
        <f aca="false">IFERROR((C24/B24)^(1/A24)-1,"")</f>
        <v>0.0556671919780007</v>
      </c>
      <c r="F24" s="29" t="n">
        <v>0.055</v>
      </c>
    </row>
    <row r="25" customFormat="false" ht="15" hidden="false" customHeight="false" outlineLevel="0" collapsed="false">
      <c r="A25" s="12" t="n">
        <v>4</v>
      </c>
      <c r="B25" s="15" t="n">
        <v>85</v>
      </c>
      <c r="C25" s="15" t="n">
        <v>100</v>
      </c>
      <c r="D25" s="27" t="n">
        <f aca="false">IFERROR(C25/B25,"")</f>
        <v>1.17647058823529</v>
      </c>
      <c r="E25" s="28" t="n">
        <f aca="false">IFERROR((C25/B25)^(1/A25)-1,"")</f>
        <v>0.0414664128493443</v>
      </c>
      <c r="F25" s="29"/>
    </row>
    <row r="26" customFormat="false" ht="15" hidden="false" customHeight="false" outlineLevel="0" collapsed="false">
      <c r="A26" s="12" t="n">
        <v>5</v>
      </c>
      <c r="B26" s="15" t="n">
        <v>85</v>
      </c>
      <c r="C26" s="15" t="n">
        <v>100</v>
      </c>
      <c r="D26" s="27" t="n">
        <f aca="false">IFERROR(C26/B26,"")</f>
        <v>1.17647058823529</v>
      </c>
      <c r="E26" s="28" t="n">
        <f aca="false">IFERROR((C26/B26)^(1/A26)-1,"")</f>
        <v>0.0330378041139323</v>
      </c>
      <c r="F26" s="29" t="n">
        <v>0.033</v>
      </c>
    </row>
    <row r="28" customFormat="false" ht="15" hidden="false" customHeight="true" outlineLevel="0" collapsed="false">
      <c r="A28" s="10" t="s">
        <v>83</v>
      </c>
      <c r="B28" s="10"/>
      <c r="C28" s="10"/>
      <c r="D28" s="10"/>
      <c r="E28" s="10"/>
      <c r="F28" s="10"/>
    </row>
    <row r="29" customFormat="false" ht="15" hidden="false" customHeight="false" outlineLevel="0" collapsed="false">
      <c r="A29" s="10"/>
      <c r="B29" s="10"/>
      <c r="C29" s="10"/>
      <c r="D29" s="10"/>
      <c r="E29" s="10"/>
      <c r="F29" s="10"/>
    </row>
    <row r="30" customFormat="false" ht="15" hidden="false" customHeight="false" outlineLevel="0" collapsed="false">
      <c r="A30" s="10"/>
      <c r="B30" s="10"/>
      <c r="C30" s="10"/>
      <c r="D30" s="10"/>
      <c r="E30" s="10"/>
      <c r="F30" s="10"/>
    </row>
    <row r="31" customFormat="false" ht="15" hidden="false" customHeight="false" outlineLevel="0" collapsed="false">
      <c r="A31" s="10"/>
      <c r="B31" s="10"/>
      <c r="C31" s="10"/>
      <c r="D31" s="10"/>
      <c r="E31" s="10"/>
      <c r="F31" s="10"/>
    </row>
    <row r="33" customFormat="false" ht="15" hidden="false" customHeight="false" outlineLevel="0" collapsed="false">
      <c r="A33" s="5" t="s">
        <v>84</v>
      </c>
    </row>
    <row r="34" customFormat="false" ht="15" hidden="false" customHeight="false" outlineLevel="0" collapsed="false">
      <c r="A34" s="6" t="s">
        <v>85</v>
      </c>
      <c r="B34" s="30" t="n">
        <v>0.15</v>
      </c>
    </row>
    <row r="35" customFormat="false" ht="15" hidden="false" customHeight="false" outlineLevel="0" collapsed="false">
      <c r="A35" s="6" t="s">
        <v>86</v>
      </c>
      <c r="B35" s="9" t="n">
        <v>4</v>
      </c>
    </row>
    <row r="36" customFormat="false" ht="15" hidden="false" customHeight="false" outlineLevel="0" collapsed="false">
      <c r="A36" s="6" t="s">
        <v>87</v>
      </c>
      <c r="B36" s="7" t="n">
        <v>130</v>
      </c>
    </row>
    <row r="37" customFormat="false" ht="15" hidden="false" customHeight="false" outlineLevel="0" collapsed="false">
      <c r="A37" s="16" t="s">
        <v>88</v>
      </c>
      <c r="B37" s="31" t="n">
        <f aca="false">IFERROR(B36/(1+B34)^B35,"")</f>
        <v>74.3279219270943</v>
      </c>
    </row>
    <row r="38" customFormat="false" ht="15" hidden="false" customHeight="false" outlineLevel="0" collapsed="false">
      <c r="A38" s="16" t="s">
        <v>89</v>
      </c>
      <c r="B38" s="32" t="n">
        <f aca="false">IFERROR(1-B37/100,"")</f>
        <v>0.256720780729057</v>
      </c>
    </row>
    <row r="39" customFormat="false" ht="15" hidden="false" customHeight="false" outlineLevel="0" collapsed="false">
      <c r="A39" s="6" t="s">
        <v>90</v>
      </c>
      <c r="B39" s="33" t="n">
        <f aca="false">IFERROR(B36/B35*(1-(1+B34)^-B35)/B34,"")</f>
        <v>92.7867967881761</v>
      </c>
    </row>
    <row r="40" customFormat="false" ht="15" hidden="false" customHeight="false" outlineLevel="0" collapsed="false">
      <c r="A40" s="6" t="s">
        <v>91</v>
      </c>
      <c r="B40" s="34" t="n">
        <f aca="false">IFERROR(1-B39/100,"")</f>
        <v>0.0721320321182388</v>
      </c>
    </row>
    <row r="42" customFormat="false" ht="15" hidden="false" customHeight="true" outlineLevel="0" collapsed="false">
      <c r="A42" s="10" t="s">
        <v>92</v>
      </c>
      <c r="B42" s="10"/>
      <c r="C42" s="10"/>
      <c r="D42" s="10"/>
      <c r="E42" s="10"/>
      <c r="F42" s="10"/>
    </row>
    <row r="43" customFormat="false" ht="15" hidden="false" customHeight="false" outlineLevel="0" collapsed="false">
      <c r="A43" s="10"/>
      <c r="B43" s="10"/>
      <c r="C43" s="10"/>
      <c r="D43" s="10"/>
      <c r="E43" s="10"/>
      <c r="F43" s="10"/>
    </row>
    <row r="44" customFormat="false" ht="15" hidden="false" customHeight="false" outlineLevel="0" collapsed="false">
      <c r="A44" s="10"/>
      <c r="B44" s="10"/>
      <c r="C44" s="10"/>
      <c r="D44" s="10"/>
      <c r="E44" s="10"/>
      <c r="F44" s="10"/>
    </row>
    <row r="45" customFormat="false" ht="15" hidden="false" customHeight="false" outlineLevel="0" collapsed="false">
      <c r="A45" s="10"/>
      <c r="B45" s="10"/>
      <c r="C45" s="10"/>
      <c r="D45" s="10"/>
      <c r="E45" s="10"/>
      <c r="F45" s="10"/>
    </row>
  </sheetData>
  <mergeCells count="4">
    <mergeCell ref="A13:F15"/>
    <mergeCell ref="A18:H19"/>
    <mergeCell ref="A28:F31"/>
    <mergeCell ref="A42:F4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6"/>
    <col collapsed="false" customWidth="true" hidden="false" outlineLevel="0" max="3" min="2" style="0" width="16"/>
    <col collapsed="false" customWidth="true" hidden="false" outlineLevel="0" max="5" min="4" style="0" width="18"/>
    <col collapsed="false" customWidth="true" hidden="false" outlineLevel="0" max="6" min="6" style="0" width="44"/>
  </cols>
  <sheetData>
    <row r="1" customFormat="false" ht="17.35" hidden="false" customHeight="false" outlineLevel="0" collapsed="false">
      <c r="A1" s="1" t="s">
        <v>93</v>
      </c>
    </row>
    <row r="2" customFormat="false" ht="15" hidden="false" customHeight="false" outlineLevel="0" collapsed="false">
      <c r="A2" s="2" t="s">
        <v>94</v>
      </c>
    </row>
    <row r="4" customFormat="false" ht="15" hidden="false" customHeight="true" outlineLevel="0" collapsed="false">
      <c r="A4" s="10" t="s">
        <v>95</v>
      </c>
      <c r="B4" s="10"/>
      <c r="C4" s="10"/>
      <c r="D4" s="10"/>
      <c r="E4" s="10"/>
      <c r="F4" s="10"/>
      <c r="G4" s="10"/>
      <c r="H4" s="10"/>
    </row>
    <row r="5" customFormat="false" ht="15" hidden="false" customHeight="false" outlineLevel="0" collapsed="false">
      <c r="A5" s="10"/>
      <c r="B5" s="10"/>
      <c r="C5" s="10"/>
      <c r="D5" s="10"/>
      <c r="E5" s="10"/>
      <c r="F5" s="10"/>
      <c r="G5" s="10"/>
      <c r="H5" s="10"/>
    </row>
    <row r="6" customFormat="false" ht="15" hidden="false" customHeight="false" outlineLevel="0" collapsed="false">
      <c r="A6" s="10"/>
      <c r="B6" s="10"/>
      <c r="C6" s="10"/>
      <c r="D6" s="10"/>
      <c r="E6" s="10"/>
      <c r="F6" s="10"/>
      <c r="G6" s="10"/>
      <c r="H6" s="10"/>
    </row>
    <row r="9" customFormat="false" ht="15" hidden="false" customHeight="false" outlineLevel="0" collapsed="false">
      <c r="A9" s="5" t="s">
        <v>96</v>
      </c>
    </row>
    <row r="10" customFormat="false" ht="23.85" hidden="false" customHeight="false" outlineLevel="0" collapsed="false">
      <c r="A10" s="11" t="s">
        <v>97</v>
      </c>
      <c r="B10" s="11" t="s">
        <v>65</v>
      </c>
      <c r="C10" s="11" t="s">
        <v>98</v>
      </c>
      <c r="D10" s="11" t="s">
        <v>99</v>
      </c>
    </row>
    <row r="11" customFormat="false" ht="15" hidden="false" customHeight="false" outlineLevel="0" collapsed="false">
      <c r="A11" s="21" t="s">
        <v>100</v>
      </c>
      <c r="B11" s="22" t="n">
        <f aca="false">IFERROR('2. Return'!B7-'2. Return'!B6,"")</f>
        <v>40.13</v>
      </c>
      <c r="C11" s="8"/>
      <c r="D11" s="23"/>
    </row>
    <row r="12" customFormat="false" ht="15" hidden="false" customHeight="false" outlineLevel="0" collapsed="false">
      <c r="A12" s="20" t="s">
        <v>101</v>
      </c>
      <c r="B12" s="14" t="n">
        <f aca="false">IFERROR('1. The Deal'!C5-'2. Return'!B6,"")</f>
        <v>12</v>
      </c>
      <c r="C12" s="8" t="n">
        <f aca="false">IFERROR(B12/$B$11,"")</f>
        <v>0.299028158484924</v>
      </c>
      <c r="D12" s="23" t="s">
        <v>102</v>
      </c>
    </row>
    <row r="13" customFormat="false" ht="15" hidden="false" customHeight="false" outlineLevel="0" collapsed="false">
      <c r="A13" s="20" t="s">
        <v>103</v>
      </c>
      <c r="B13" s="14" t="n">
        <f aca="false">IFERROR('2. Return'!B7-'1. The Deal'!C5,"")</f>
        <v>28.13</v>
      </c>
      <c r="C13" s="8" t="n">
        <f aca="false">IFERROR(B13/$B$11,"")</f>
        <v>0.700971841515076</v>
      </c>
      <c r="D13" s="23" t="s">
        <v>104</v>
      </c>
    </row>
    <row r="14" customFormat="false" ht="15" hidden="false" customHeight="false" outlineLevel="0" collapsed="false">
      <c r="A14" s="20" t="s">
        <v>105</v>
      </c>
      <c r="B14" s="14" t="n">
        <f aca="false">IFERROR('1. The Deal'!C8-'1. The Deal'!C5,"")</f>
        <v>4</v>
      </c>
      <c r="C14" s="8" t="n">
        <f aca="false">IFERROR(B14/$B$11,"")</f>
        <v>0.099676052828308</v>
      </c>
      <c r="D14" s="23" t="s">
        <v>106</v>
      </c>
    </row>
    <row r="15" customFormat="false" ht="15" hidden="false" customHeight="false" outlineLevel="0" collapsed="false">
      <c r="A15" s="20" t="s">
        <v>107</v>
      </c>
      <c r="B15" s="14" t="n">
        <f aca="false">IFERROR(B13-B14,"")</f>
        <v>24.13</v>
      </c>
      <c r="C15" s="8" t="n">
        <f aca="false">IFERROR(B15/$B$11,"")</f>
        <v>0.601295788686768</v>
      </c>
      <c r="D15" s="23" t="s">
        <v>108</v>
      </c>
    </row>
    <row r="17" customFormat="false" ht="15" hidden="false" customHeight="false" outlineLevel="0" collapsed="false">
      <c r="A17" s="6" t="s">
        <v>109</v>
      </c>
      <c r="B17" s="35" t="n">
        <f aca="false">IFERROR(('1. The Deal'!C5-'1. The Deal'!C6)/'1. The Deal'!C5,"")</f>
        <v>0.12</v>
      </c>
      <c r="C17" s="36" t="n">
        <v>0.12</v>
      </c>
      <c r="D17" s="37" t="s">
        <v>110</v>
      </c>
    </row>
    <row r="18" customFormat="false" ht="15" hidden="false" customHeight="false" outlineLevel="0" collapsed="false">
      <c r="A18" s="6" t="s">
        <v>111</v>
      </c>
      <c r="B18" s="35" t="n">
        <f aca="false">IFERROR('2. Return'!B7/'1. The Deal'!C5-1,"")</f>
        <v>0.2813</v>
      </c>
    </row>
    <row r="19" customFormat="false" ht="15" hidden="false" customHeight="false" outlineLevel="0" collapsed="false">
      <c r="A19" s="16" t="s">
        <v>112</v>
      </c>
      <c r="B19" s="38" t="str">
        <f aca="false">IF(B17="","",IF(B18&gt;B17,"Company appreciation","The entry discount"))</f>
        <v>Company appreciation</v>
      </c>
      <c r="C19" s="38"/>
      <c r="D19" s="38"/>
    </row>
    <row r="21" customFormat="false" ht="15" hidden="false" customHeight="false" outlineLevel="0" collapsed="false">
      <c r="A21" s="5" t="s">
        <v>113</v>
      </c>
    </row>
    <row r="22" customFormat="false" ht="15" hidden="false" customHeight="true" outlineLevel="0" collapsed="false">
      <c r="A22" s="10" t="s">
        <v>114</v>
      </c>
      <c r="B22" s="10"/>
      <c r="C22" s="10"/>
      <c r="D22" s="10"/>
      <c r="E22" s="10"/>
      <c r="F22" s="10"/>
      <c r="G22" s="10"/>
      <c r="H22" s="10"/>
    </row>
    <row r="23" customFormat="false" ht="15" hidden="false" customHeight="false" outlineLevel="0" collapsed="false">
      <c r="A23" s="10"/>
      <c r="B23" s="10"/>
      <c r="C23" s="10"/>
      <c r="D23" s="10"/>
      <c r="E23" s="10"/>
      <c r="F23" s="10"/>
      <c r="G23" s="10"/>
      <c r="H23" s="10"/>
    </row>
    <row r="24" customFormat="false" ht="15" hidden="false" customHeight="false" outlineLevel="0" collapsed="false">
      <c r="A24" s="10"/>
      <c r="B24" s="10"/>
      <c r="C24" s="10"/>
      <c r="D24" s="10"/>
      <c r="E24" s="10"/>
      <c r="F24" s="10"/>
      <c r="G24" s="10"/>
      <c r="H24" s="10"/>
    </row>
    <row r="27" customFormat="false" ht="15" hidden="false" customHeight="false" outlineLevel="0" collapsed="false">
      <c r="A27" s="5" t="s">
        <v>115</v>
      </c>
    </row>
    <row r="28" customFormat="false" ht="23.85" hidden="false" customHeight="false" outlineLevel="0" collapsed="false">
      <c r="A28" s="11" t="s">
        <v>116</v>
      </c>
      <c r="B28" s="11" t="s">
        <v>70</v>
      </c>
      <c r="C28" s="11" t="s">
        <v>72</v>
      </c>
      <c r="D28" s="11" t="s">
        <v>117</v>
      </c>
    </row>
    <row r="29" customFormat="false" ht="15" hidden="false" customHeight="false" outlineLevel="0" collapsed="false">
      <c r="A29" s="15" t="n">
        <v>100</v>
      </c>
      <c r="B29" s="27" t="n">
        <f aca="false">IFERROR(A29/'2. Return'!$B$6,"")</f>
        <v>1.13636363636364</v>
      </c>
      <c r="C29" s="28" t="n">
        <f aca="false">IFERROR((A29/'2. Return'!$B$6)^(1/'1. The Deal'!$C$12)-1,"")</f>
        <v>0.0324744944927464</v>
      </c>
      <c r="D29" s="21" t="str">
        <f aca="false">IF(C29="","",IF(C29&gt;=0.15,"clears","below"))</f>
        <v>below</v>
      </c>
    </row>
    <row r="30" customFormat="false" ht="15" hidden="false" customHeight="false" outlineLevel="0" collapsed="false">
      <c r="A30" s="15" t="n">
        <v>110</v>
      </c>
      <c r="B30" s="27" t="n">
        <f aca="false">IFERROR(A30/'2. Return'!$B$6,"")</f>
        <v>1.25</v>
      </c>
      <c r="C30" s="28" t="n">
        <f aca="false">IFERROR((A30/'2. Return'!$B$6)^(1/'1. The Deal'!$C$12)-1,"")</f>
        <v>0.0573712634405641</v>
      </c>
      <c r="D30" s="21" t="str">
        <f aca="false">IF(C30="","",IF(C30&gt;=0.15,"clears","below"))</f>
        <v>below</v>
      </c>
    </row>
    <row r="31" customFormat="false" ht="15" hidden="false" customHeight="false" outlineLevel="0" collapsed="false">
      <c r="A31" s="15" t="n">
        <v>120</v>
      </c>
      <c r="B31" s="27" t="n">
        <f aca="false">IFERROR(A31/'2. Return'!$B$6,"")</f>
        <v>1.36363636363636</v>
      </c>
      <c r="C31" s="28" t="n">
        <f aca="false">IFERROR((A31/'2. Return'!$B$6)^(1/'1. The Deal'!$C$12)-1,"")</f>
        <v>0.0806240864622092</v>
      </c>
      <c r="D31" s="21" t="str">
        <f aca="false">IF(C31="","",IF(C31&gt;=0.15,"clears","below"))</f>
        <v>below</v>
      </c>
    </row>
    <row r="32" customFormat="false" ht="15" hidden="false" customHeight="false" outlineLevel="0" collapsed="false">
      <c r="A32" s="15" t="n">
        <v>130</v>
      </c>
      <c r="B32" s="27" t="n">
        <f aca="false">IFERROR(A32/'2. Return'!$B$6,"")</f>
        <v>1.47727272727273</v>
      </c>
      <c r="C32" s="28" t="n">
        <f aca="false">IFERROR((A32/'2. Return'!$B$6)^(1/'1. The Deal'!$C$12)-1,"")</f>
        <v>0.10246591194966</v>
      </c>
      <c r="D32" s="21" t="str">
        <f aca="false">IF(C32="","",IF(C32&gt;=0.15,"clears","below"))</f>
        <v>below</v>
      </c>
    </row>
    <row r="33" customFormat="false" ht="15" hidden="false" customHeight="false" outlineLevel="0" collapsed="false">
      <c r="A33" s="15" t="n">
        <v>140</v>
      </c>
      <c r="B33" s="27" t="n">
        <f aca="false">IFERROR(A33/'2. Return'!$B$6,"")</f>
        <v>1.59090909090909</v>
      </c>
      <c r="C33" s="28" t="n">
        <f aca="false">IFERROR((A33/'2. Return'!$B$6)^(1/'1. The Deal'!$C$12)-1,"")</f>
        <v>0.123081674578382</v>
      </c>
      <c r="D33" s="21" t="str">
        <f aca="false">IF(C33="","",IF(C33&gt;=0.15,"clears","below"))</f>
        <v>below</v>
      </c>
    </row>
    <row r="34" customFormat="false" ht="15" hidden="false" customHeight="false" outlineLevel="0" collapsed="false">
      <c r="A34" s="15" t="n">
        <v>150</v>
      </c>
      <c r="B34" s="27" t="n">
        <f aca="false">IFERROR(A34/'2. Return'!$B$6,"")</f>
        <v>1.70454545454545</v>
      </c>
      <c r="C34" s="28" t="n">
        <f aca="false">IFERROR((A34/'2. Return'!$B$6)^(1/'1. The Deal'!$C$12)-1,"")</f>
        <v>0.142620855606852</v>
      </c>
      <c r="D34" s="21" t="str">
        <f aca="false">IF(C34="","",IF(C34&gt;=0.15,"clears","below"))</f>
        <v>below</v>
      </c>
    </row>
    <row r="36" customFormat="false" ht="15" hidden="false" customHeight="true" outlineLevel="0" collapsed="false">
      <c r="A36" s="10" t="s">
        <v>118</v>
      </c>
      <c r="B36" s="10"/>
      <c r="C36" s="10"/>
      <c r="D36" s="10"/>
      <c r="E36" s="10"/>
      <c r="F36" s="10"/>
    </row>
    <row r="37" customFormat="false" ht="15" hidden="false" customHeight="false" outlineLevel="0" collapsed="false">
      <c r="A37" s="10"/>
      <c r="B37" s="10"/>
      <c r="C37" s="10"/>
      <c r="D37" s="10"/>
      <c r="E37" s="10"/>
      <c r="F37" s="10"/>
    </row>
    <row r="38" customFormat="false" ht="15" hidden="false" customHeight="false" outlineLevel="0" collapsed="false">
      <c r="A38" s="10"/>
      <c r="B38" s="10"/>
      <c r="C38" s="10"/>
      <c r="D38" s="10"/>
      <c r="E38" s="10"/>
      <c r="F38" s="10"/>
    </row>
  </sheetData>
  <mergeCells count="4">
    <mergeCell ref="A4:H6"/>
    <mergeCell ref="B19:D19"/>
    <mergeCell ref="A22:H24"/>
    <mergeCell ref="A36:F3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11" min="2" style="0" width="11"/>
  </cols>
  <sheetData>
    <row r="1" customFormat="false" ht="17.35" hidden="false" customHeight="false" outlineLevel="0" collapsed="false">
      <c r="A1" s="1" t="s">
        <v>119</v>
      </c>
    </row>
    <row r="2" customFormat="false" ht="15" hidden="false" customHeight="false" outlineLevel="0" collapsed="false">
      <c r="A2" s="2" t="s">
        <v>120</v>
      </c>
    </row>
    <row r="4" customFormat="false" ht="15" hidden="false" customHeight="false" outlineLevel="0" collapsed="false">
      <c r="A4" s="5" t="s">
        <v>121</v>
      </c>
    </row>
    <row r="5" customFormat="false" ht="15" hidden="false" customHeight="false" outlineLevel="0" collapsed="false">
      <c r="A5" s="6" t="s">
        <v>122</v>
      </c>
      <c r="C5" s="9" t="n">
        <v>2</v>
      </c>
    </row>
    <row r="6" customFormat="false" ht="15" hidden="false" customHeight="false" outlineLevel="0" collapsed="false">
      <c r="A6" s="6" t="s">
        <v>123</v>
      </c>
      <c r="C6" s="30" t="n">
        <v>0.1</v>
      </c>
    </row>
    <row r="7" customFormat="false" ht="15" hidden="false" customHeight="false" outlineLevel="0" collapsed="false">
      <c r="A7" s="6" t="s">
        <v>124</v>
      </c>
      <c r="C7" s="39" t="s">
        <v>125</v>
      </c>
    </row>
    <row r="9" customFormat="false" ht="15" hidden="false" customHeight="false" outlineLevel="0" collapsed="false">
      <c r="A9" s="6" t="s">
        <v>126</v>
      </c>
      <c r="C9" s="31" t="n">
        <f aca="false">IFERROR('1. The Deal'!C10*(1-C6),"")</f>
        <v>117</v>
      </c>
    </row>
    <row r="11" customFormat="false" ht="15" hidden="false" customHeight="false" outlineLevel="0" collapsed="false">
      <c r="A11" s="5" t="s">
        <v>127</v>
      </c>
    </row>
    <row r="12" customFormat="false" ht="15" hidden="false" customHeight="false" outlineLevel="0" collapsed="false">
      <c r="A12" s="11" t="s">
        <v>45</v>
      </c>
      <c r="B12" s="11" t="s">
        <v>46</v>
      </c>
      <c r="C12" s="11" t="s">
        <v>47</v>
      </c>
      <c r="D12" s="11" t="s">
        <v>48</v>
      </c>
      <c r="E12" s="11" t="s">
        <v>49</v>
      </c>
      <c r="F12" s="11" t="s">
        <v>50</v>
      </c>
      <c r="G12" s="11" t="s">
        <v>51</v>
      </c>
      <c r="H12" s="11" t="s">
        <v>52</v>
      </c>
      <c r="I12" s="11" t="s">
        <v>53</v>
      </c>
      <c r="J12" s="11" t="s">
        <v>54</v>
      </c>
      <c r="K12" s="11" t="s">
        <v>128</v>
      </c>
    </row>
    <row r="13" customFormat="false" ht="15" hidden="false" customHeight="false" outlineLevel="0" collapsed="false">
      <c r="A13" s="20" t="s">
        <v>129</v>
      </c>
      <c r="B13" s="14" t="n">
        <f aca="false">IFERROR(IF(0-$C$5&gt;=1,INDEX('1. The Deal'!$E$20:$E$27,MAX(1,MIN(8,0-$C$5)))*(1-$C$6),0),0)</f>
        <v>0</v>
      </c>
      <c r="C13" s="14" t="n">
        <f aca="false">IFERROR(IF(1-$C$5&gt;=1,INDEX('1. The Deal'!$E$20:$E$27,MAX(1,MIN(8,1-$C$5)))*(1-$C$6),0),0)</f>
        <v>0</v>
      </c>
      <c r="D13" s="14" t="n">
        <f aca="false">IFERROR(IF(2-$C$5&gt;=1,INDEX('1. The Deal'!$E$20:$E$27,MAX(1,MIN(8,2-$C$5)))*(1-$C$6),0),0)</f>
        <v>0</v>
      </c>
      <c r="E13" s="14" t="n">
        <f aca="false">IFERROR(IF(3-$C$5&gt;=1,INDEX('1. The Deal'!$E$20:$E$27,MAX(1,MIN(8,3-$C$5)))*(1-$C$6),0),0)</f>
        <v>16.218</v>
      </c>
      <c r="F13" s="14" t="n">
        <f aca="false">IFERROR(IF(4-$C$5&gt;=1,INDEX('1. The Deal'!$E$20:$E$27,MAX(1,MIN(8,4-$C$5)))*(1-$C$6),0),0)</f>
        <v>27.027</v>
      </c>
      <c r="G13" s="14" t="n">
        <f aca="false">IFERROR(IF(5-$C$5&gt;=1,INDEX('1. The Deal'!$E$20:$E$27,MAX(1,MIN(8,5-$C$5)))*(1-$C$6),0),0)</f>
        <v>36.036</v>
      </c>
      <c r="H13" s="14" t="n">
        <f aca="false">IFERROR(IF(6-$C$5&gt;=1,INDEX('1. The Deal'!$E$20:$E$27,MAX(1,MIN(8,6-$C$5)))*(1-$C$6),0),0)</f>
        <v>36.036</v>
      </c>
      <c r="I13" s="14" t="n">
        <f aca="false">IFERROR(IF(7-$C$5&gt;=1,INDEX('1. The Deal'!$E$20:$E$27,MAX(1,MIN(8,7-$C$5)))*(1-$C$6),0),0)</f>
        <v>0</v>
      </c>
      <c r="J13" s="14" t="n">
        <f aca="false">IFERROR(IF(8-$C$5&gt;=1,INDEX('1. The Deal'!$E$20:$E$27,MAX(1,MIN(8,8-$C$5)))*(1-$C$6),0),0)</f>
        <v>0</v>
      </c>
      <c r="K13" s="14" t="n">
        <f aca="false">IFERROR(IF(9-$C$5&gt;=1,INDEX('1. The Deal'!$E$20:$E$27,MAX(1,MIN(8,9-$C$5)))*(1-$C$6),0),0)</f>
        <v>0</v>
      </c>
    </row>
    <row r="14" customFormat="false" ht="15" hidden="false" customHeight="false" outlineLevel="0" collapsed="false">
      <c r="A14" s="20" t="s">
        <v>130</v>
      </c>
      <c r="B14" s="14" t="n">
        <f aca="false">IFERROR(IF(AND(0&gt;=1,0&lt;=$C$5+'1. The Deal'!$C$12),$C$9/($C$5+'1. The Deal'!$C$12),0),0)</f>
        <v>0</v>
      </c>
      <c r="C14" s="14" t="n">
        <f aca="false">IFERROR(IF(AND(1&gt;=1,1&lt;=$C$5+'1. The Deal'!$C$12),$C$9/($C$5+'1. The Deal'!$C$12),0),0)</f>
        <v>19.5</v>
      </c>
      <c r="D14" s="14" t="n">
        <f aca="false">IFERROR(IF(AND(2&gt;=1,2&lt;=$C$5+'1. The Deal'!$C$12),$C$9/($C$5+'1. The Deal'!$C$12),0),0)</f>
        <v>19.5</v>
      </c>
      <c r="E14" s="14" t="n">
        <f aca="false">IFERROR(IF(AND(3&gt;=1,3&lt;=$C$5+'1. The Deal'!$C$12),$C$9/($C$5+'1. The Deal'!$C$12),0),0)</f>
        <v>19.5</v>
      </c>
      <c r="F14" s="14" t="n">
        <f aca="false">IFERROR(IF(AND(4&gt;=1,4&lt;=$C$5+'1. The Deal'!$C$12),$C$9/($C$5+'1. The Deal'!$C$12),0),0)</f>
        <v>19.5</v>
      </c>
      <c r="G14" s="14" t="n">
        <f aca="false">IFERROR(IF(AND(5&gt;=1,5&lt;=$C$5+'1. The Deal'!$C$12),$C$9/($C$5+'1. The Deal'!$C$12),0),0)</f>
        <v>19.5</v>
      </c>
      <c r="H14" s="14" t="n">
        <f aca="false">IFERROR(IF(AND(6&gt;=1,6&lt;=$C$5+'1. The Deal'!$C$12),$C$9/($C$5+'1. The Deal'!$C$12),0),0)</f>
        <v>19.5</v>
      </c>
      <c r="I14" s="14" t="n">
        <f aca="false">IFERROR(IF(AND(7&gt;=1,7&lt;=$C$5+'1. The Deal'!$C$12),$C$9/($C$5+'1. The Deal'!$C$12),0),0)</f>
        <v>0</v>
      </c>
      <c r="J14" s="14" t="n">
        <f aca="false">IFERROR(IF(AND(8&gt;=1,8&lt;=$C$5+'1. The Deal'!$C$12),$C$9/($C$5+'1. The Deal'!$C$12),0),0)</f>
        <v>0</v>
      </c>
      <c r="K14" s="14" t="n">
        <f aca="false">IFERROR(IF(AND(9&gt;=1,9&lt;=$C$5+'1. The Deal'!$C$12),$C$9/($C$5+'1. The Deal'!$C$12),0),0)</f>
        <v>0</v>
      </c>
    </row>
    <row r="15" customFormat="false" ht="15" hidden="false" customHeight="false" outlineLevel="0" collapsed="false">
      <c r="A15" s="21" t="s">
        <v>131</v>
      </c>
      <c r="B15" s="22" t="n">
        <f aca="false">IF($C$7="delayed",B13,B14)</f>
        <v>0</v>
      </c>
      <c r="C15" s="22" t="n">
        <f aca="false">IF($C$7="delayed",C13,C14)</f>
        <v>19.5</v>
      </c>
      <c r="D15" s="22" t="n">
        <f aca="false">IF($C$7="delayed",D13,D14)</f>
        <v>19.5</v>
      </c>
      <c r="E15" s="22" t="n">
        <f aca="false">IF($C$7="delayed",E13,E14)</f>
        <v>19.5</v>
      </c>
      <c r="F15" s="22" t="n">
        <f aca="false">IF($C$7="delayed",F13,F14)</f>
        <v>19.5</v>
      </c>
      <c r="G15" s="22" t="n">
        <f aca="false">IF($C$7="delayed",G13,G14)</f>
        <v>19.5</v>
      </c>
      <c r="H15" s="22" t="n">
        <f aca="false">IF($C$7="delayed",H13,H14)</f>
        <v>19.5</v>
      </c>
      <c r="I15" s="22" t="n">
        <f aca="false">IF($C$7="delayed",I13,I14)</f>
        <v>0</v>
      </c>
      <c r="J15" s="22" t="n">
        <f aca="false">IF($C$7="delayed",J13,J14)</f>
        <v>0</v>
      </c>
      <c r="K15" s="22" t="n">
        <f aca="false">IF($C$7="delayed",K13,K14)</f>
        <v>0</v>
      </c>
    </row>
    <row r="16" customFormat="false" ht="15" hidden="false" customHeight="false" outlineLevel="0" collapsed="false">
      <c r="A16" s="20" t="s">
        <v>132</v>
      </c>
      <c r="B16" s="14" t="n">
        <f aca="false">IF(0=0,'1. The Deal'!B51+'1. The Deal'!B52,0)</f>
        <v>-88</v>
      </c>
      <c r="C16" s="14" t="n">
        <f aca="false">IF(1=0,'1. The Deal'!B51+'1. The Deal'!B52,0)</f>
        <v>0</v>
      </c>
      <c r="D16" s="14" t="n">
        <f aca="false">IF(2=0,'1. The Deal'!B51+'1. The Deal'!B52,0)</f>
        <v>0</v>
      </c>
      <c r="E16" s="14" t="n">
        <f aca="false">IF(3=0,'1. The Deal'!B51+'1. The Deal'!B52,0)</f>
        <v>0</v>
      </c>
      <c r="F16" s="14" t="n">
        <f aca="false">IF(4=0,'1. The Deal'!B51+'1. The Deal'!B52,0)</f>
        <v>0</v>
      </c>
      <c r="G16" s="14" t="n">
        <f aca="false">IF(5=0,'1. The Deal'!B51+'1. The Deal'!B52,0)</f>
        <v>0</v>
      </c>
      <c r="H16" s="14" t="n">
        <f aca="false">IF(6=0,'1. The Deal'!B51+'1. The Deal'!B52,0)</f>
        <v>0</v>
      </c>
      <c r="I16" s="14" t="n">
        <f aca="false">IF(7=0,'1. The Deal'!B51+'1. The Deal'!B52,0)</f>
        <v>0</v>
      </c>
      <c r="J16" s="14" t="n">
        <f aca="false">IF(8=0,'1. The Deal'!B51+'1. The Deal'!B52,0)</f>
        <v>0</v>
      </c>
      <c r="K16" s="14" t="n">
        <f aca="false">IF(9=0,'1. The Deal'!B51+'1. The Deal'!B52,0)</f>
        <v>0</v>
      </c>
    </row>
    <row r="17" customFormat="false" ht="15" hidden="false" customHeight="false" outlineLevel="0" collapsed="false">
      <c r="A17" s="21" t="s">
        <v>133</v>
      </c>
      <c r="B17" s="22" t="n">
        <f aca="false">B15+B16</f>
        <v>-88</v>
      </c>
      <c r="C17" s="22" t="n">
        <f aca="false">C15+C16</f>
        <v>19.5</v>
      </c>
      <c r="D17" s="22" t="n">
        <f aca="false">D15+D16</f>
        <v>19.5</v>
      </c>
      <c r="E17" s="22" t="n">
        <f aca="false">E15+E16</f>
        <v>19.5</v>
      </c>
      <c r="F17" s="22" t="n">
        <f aca="false">F15+F16</f>
        <v>19.5</v>
      </c>
      <c r="G17" s="22" t="n">
        <f aca="false">G15+G16</f>
        <v>19.5</v>
      </c>
      <c r="H17" s="22" t="n">
        <f aca="false">H15+H16</f>
        <v>19.5</v>
      </c>
      <c r="I17" s="22" t="n">
        <f aca="false">I15+I16</f>
        <v>0</v>
      </c>
      <c r="J17" s="22" t="n">
        <f aca="false">J15+J16</f>
        <v>0</v>
      </c>
      <c r="K17" s="22" t="n">
        <f aca="false">K15+K16</f>
        <v>0</v>
      </c>
    </row>
    <row r="18" customFormat="false" ht="15" hidden="false" customHeight="false" outlineLevel="0" collapsed="false">
      <c r="A18" s="20" t="s">
        <v>134</v>
      </c>
      <c r="B18" s="14" t="n">
        <f aca="false">B13+B16</f>
        <v>-88</v>
      </c>
      <c r="C18" s="14" t="n">
        <f aca="false">C13+C16</f>
        <v>0</v>
      </c>
      <c r="D18" s="14" t="n">
        <f aca="false">D13+D16</f>
        <v>0</v>
      </c>
      <c r="E18" s="14" t="n">
        <f aca="false">E13+E16</f>
        <v>16.218</v>
      </c>
      <c r="F18" s="14" t="n">
        <f aca="false">F13+F16</f>
        <v>27.027</v>
      </c>
      <c r="G18" s="14" t="n">
        <f aca="false">G13+G16</f>
        <v>36.036</v>
      </c>
      <c r="H18" s="14" t="n">
        <f aca="false">H13+H16</f>
        <v>36.036</v>
      </c>
      <c r="I18" s="14" t="n">
        <f aca="false">I13+I16</f>
        <v>0</v>
      </c>
      <c r="J18" s="14" t="n">
        <f aca="false">J13+J16</f>
        <v>0</v>
      </c>
      <c r="K18" s="14" t="n">
        <f aca="false">K13+K16</f>
        <v>0</v>
      </c>
    </row>
    <row r="19" customFormat="false" ht="15" hidden="false" customHeight="false" outlineLevel="0" collapsed="false">
      <c r="A19" s="6" t="s">
        <v>135</v>
      </c>
      <c r="C19" s="33" t="n">
        <f aca="false">SUM(B15:K15)</f>
        <v>117</v>
      </c>
    </row>
    <row r="20" customFormat="false" ht="15" hidden="false" customHeight="false" outlineLevel="0" collapsed="false">
      <c r="A20" s="6" t="s">
        <v>136</v>
      </c>
      <c r="C20" s="16" t="str">
        <f aca="false">IF(ABS(C19-C9)&lt;0.05,"OK","CHECK — the profile does not total the stressed value")</f>
        <v>OK</v>
      </c>
    </row>
    <row r="22" customFormat="false" ht="15" hidden="false" customHeight="false" outlineLevel="0" collapsed="false">
      <c r="A22" s="5" t="s">
        <v>137</v>
      </c>
    </row>
    <row r="23" customFormat="false" ht="23.85" hidden="false" customHeight="false" outlineLevel="0" collapsed="false">
      <c r="A23" s="11" t="s">
        <v>64</v>
      </c>
      <c r="B23" s="11" t="s">
        <v>138</v>
      </c>
      <c r="C23" s="11" t="s">
        <v>139</v>
      </c>
      <c r="D23" s="11" t="s">
        <v>66</v>
      </c>
      <c r="E23" s="11" t="s">
        <v>67</v>
      </c>
    </row>
    <row r="24" customFormat="false" ht="15" hidden="false" customHeight="false" outlineLevel="0" collapsed="false">
      <c r="A24" s="20" t="s">
        <v>70</v>
      </c>
      <c r="B24" s="40" t="n">
        <f aca="false">'2. Return'!B8</f>
        <v>1.45602272727273</v>
      </c>
      <c r="C24" s="24" t="n">
        <f aca="false">IFERROR(SUM(B15:K15)/(-B16),"")</f>
        <v>1.32954545454545</v>
      </c>
      <c r="D24" s="23" t="s">
        <v>140</v>
      </c>
      <c r="E24" s="21" t="str">
        <f aca="false">IF(C24="","",IF(AND(C24&gt;=1.28,C24&lt;=1.38),"yes","NO"))</f>
        <v>yes</v>
      </c>
    </row>
    <row r="25" customFormat="false" ht="15" hidden="false" customHeight="false" outlineLevel="0" collapsed="false">
      <c r="A25" s="20" t="s">
        <v>72</v>
      </c>
      <c r="B25" s="41" t="n">
        <f aca="false">'2. Return'!B9</f>
        <v>0.14800386166172</v>
      </c>
      <c r="C25" s="25" t="n">
        <f aca="false">IFERROR(IRR(B17:K17),"")</f>
        <v>0.0879980584225637</v>
      </c>
      <c r="D25" s="23" t="s">
        <v>141</v>
      </c>
      <c r="E25" s="21" t="str">
        <f aca="false">IF(C25="","",IF(AND(C25&gt;=0.07,C25&lt;=0.1),"yes","NO"))</f>
        <v>yes</v>
      </c>
    </row>
    <row r="26" customFormat="false" ht="15" hidden="false" customHeight="false" outlineLevel="0" collapsed="false">
      <c r="A26" s="20" t="s">
        <v>142</v>
      </c>
      <c r="C26" s="26" t="n">
        <f aca="false">IFERROR(IRR(B18:K18),"")</f>
        <v>0.0583595050472935</v>
      </c>
    </row>
    <row r="27" customFormat="false" ht="15" hidden="false" customHeight="false" outlineLevel="0" collapsed="false">
      <c r="A27" s="21" t="s">
        <v>143</v>
      </c>
      <c r="B27" s="13" t="n">
        <v>0.08</v>
      </c>
      <c r="C27" s="21" t="str">
        <f aca="false">IF(C25="","",IF(C25&gt;=B27,"CLEARS","BELOW"))</f>
        <v>CLEARS</v>
      </c>
    </row>
    <row r="29" customFormat="false" ht="15" hidden="false" customHeight="true" outlineLevel="0" collapsed="false">
      <c r="A29" s="10" t="s">
        <v>144</v>
      </c>
      <c r="B29" s="10"/>
      <c r="C29" s="10"/>
      <c r="D29" s="10"/>
      <c r="E29" s="10"/>
      <c r="F29" s="10"/>
      <c r="G29" s="10"/>
      <c r="H29" s="10"/>
      <c r="I29" s="10"/>
      <c r="J29" s="10"/>
      <c r="K29" s="10"/>
    </row>
    <row r="30" customFormat="false" ht="15" hidden="false" customHeight="false" outlineLevel="0" collapsed="false">
      <c r="A30" s="10"/>
      <c r="B30" s="10"/>
      <c r="C30" s="10"/>
      <c r="D30" s="10"/>
      <c r="E30" s="10"/>
      <c r="F30" s="10"/>
      <c r="G30" s="10"/>
      <c r="H30" s="10"/>
      <c r="I30" s="10"/>
      <c r="J30" s="10"/>
      <c r="K30" s="10"/>
    </row>
    <row r="31" customFormat="false" ht="15" hidden="false" customHeight="false" outlineLevel="0" collapsed="false">
      <c r="A31" s="10"/>
      <c r="B31" s="10"/>
      <c r="C31" s="10"/>
      <c r="D31" s="10"/>
      <c r="E31" s="10"/>
      <c r="F31" s="10"/>
      <c r="G31" s="10"/>
      <c r="H31" s="10"/>
      <c r="I31" s="10"/>
      <c r="J31" s="10"/>
      <c r="K31" s="10"/>
    </row>
    <row r="32" customFormat="false" ht="15" hidden="false" customHeight="false" outlineLevel="0" collapsed="false">
      <c r="A32" s="10"/>
      <c r="B32" s="10"/>
      <c r="C32" s="10"/>
      <c r="D32" s="10"/>
      <c r="E32" s="10"/>
      <c r="F32" s="10"/>
      <c r="G32" s="10"/>
      <c r="H32" s="10"/>
      <c r="I32" s="10"/>
      <c r="J32" s="10"/>
      <c r="K32" s="10"/>
    </row>
  </sheetData>
  <mergeCells count="1">
    <mergeCell ref="A29:K3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2"/>
    <col collapsed="false" customWidth="true" hidden="false" outlineLevel="0" max="2" min="2" style="0" width="22"/>
    <col collapsed="false" customWidth="true" hidden="false" outlineLevel="0" max="3" min="3" style="0" width="20"/>
    <col collapsed="false" customWidth="true" hidden="false" outlineLevel="0" max="4" min="4" style="0" width="16"/>
    <col collapsed="false" customWidth="true" hidden="false" outlineLevel="0" max="5" min="5" style="0" width="44"/>
  </cols>
  <sheetData>
    <row r="1" customFormat="false" ht="17.35" hidden="false" customHeight="false" outlineLevel="0" collapsed="false">
      <c r="A1" s="1" t="s">
        <v>145</v>
      </c>
    </row>
    <row r="2" customFormat="false" ht="15" hidden="false" customHeight="false" outlineLevel="0" collapsed="false">
      <c r="A2" s="2" t="s">
        <v>146</v>
      </c>
    </row>
    <row r="5" customFormat="false" ht="15" hidden="false" customHeight="false" outlineLevel="0" collapsed="false">
      <c r="A5" s="11" t="s">
        <v>147</v>
      </c>
      <c r="B5" s="11" t="s">
        <v>148</v>
      </c>
      <c r="C5" s="11" t="s">
        <v>149</v>
      </c>
      <c r="D5" s="11" t="s">
        <v>150</v>
      </c>
      <c r="E5" s="11" t="s">
        <v>99</v>
      </c>
    </row>
    <row r="6" customFormat="false" ht="15" hidden="false" customHeight="false" outlineLevel="0" collapsed="false">
      <c r="A6" s="20" t="s">
        <v>18</v>
      </c>
      <c r="B6" s="42" t="s">
        <v>151</v>
      </c>
      <c r="C6" s="43" t="n">
        <f aca="false">'1. The Deal'!C6</f>
        <v>88</v>
      </c>
      <c r="D6" s="21" t="str">
        <f aca="false">IF(C6="","",IF(ABS(C6-88)&lt;=0.005,"OK","OUT"))</f>
        <v>OK</v>
      </c>
      <c r="E6" s="23" t="s">
        <v>152</v>
      </c>
    </row>
    <row r="7" customFormat="false" ht="15" hidden="false" customHeight="false" outlineLevel="0" collapsed="false">
      <c r="A7" s="20" t="s">
        <v>153</v>
      </c>
      <c r="B7" s="42" t="s">
        <v>154</v>
      </c>
      <c r="C7" s="43" t="n">
        <f aca="false">'1. The Deal'!C5</f>
        <v>100</v>
      </c>
      <c r="D7" s="21" t="str">
        <f aca="false">IF(C7="","",IF(ABS(C7-100)&lt;=0.005,"OK","OUT"))</f>
        <v>OK</v>
      </c>
      <c r="E7" s="23" t="s">
        <v>152</v>
      </c>
    </row>
    <row r="8" customFormat="false" ht="15" hidden="false" customHeight="false" outlineLevel="0" collapsed="false">
      <c r="A8" s="20" t="s">
        <v>19</v>
      </c>
      <c r="B8" s="42" t="s">
        <v>155</v>
      </c>
      <c r="C8" s="44" t="n">
        <f aca="false">'1. The Deal'!C7</f>
        <v>0.12</v>
      </c>
      <c r="D8" s="21" t="str">
        <f aca="false">IF(C8="","",IF(ABS(C8-0.12)&lt;=0.0005,"OK","OUT"))</f>
        <v>OK</v>
      </c>
      <c r="E8" s="23" t="s">
        <v>152</v>
      </c>
    </row>
    <row r="9" customFormat="false" ht="15" hidden="false" customHeight="false" outlineLevel="0" collapsed="false">
      <c r="A9" s="20" t="s">
        <v>156</v>
      </c>
      <c r="B9" s="42" t="s">
        <v>157</v>
      </c>
      <c r="C9" s="43" t="n">
        <f aca="false">'1. The Deal'!C8</f>
        <v>104</v>
      </c>
      <c r="D9" s="21" t="str">
        <f aca="false">IF(C9="","",IF(ABS(C9-104)&lt;=0.005,"OK","OUT"))</f>
        <v>OK</v>
      </c>
      <c r="E9" s="23" t="s">
        <v>152</v>
      </c>
    </row>
    <row r="10" customFormat="false" ht="15" hidden="false" customHeight="false" outlineLevel="0" collapsed="false">
      <c r="A10" s="20" t="s">
        <v>158</v>
      </c>
      <c r="B10" s="42" t="s">
        <v>159</v>
      </c>
      <c r="C10" s="43" t="n">
        <f aca="false">'1. The Deal'!C10</f>
        <v>130</v>
      </c>
      <c r="D10" s="21" t="str">
        <f aca="false">IF(C10="","",IF(ABS(C10-130)&lt;=0.005,"OK","OUT"))</f>
        <v>OK</v>
      </c>
      <c r="E10" s="23" t="s">
        <v>152</v>
      </c>
    </row>
    <row r="11" customFormat="false" ht="15" hidden="false" customHeight="false" outlineLevel="0" collapsed="false">
      <c r="A11" s="20" t="s">
        <v>160</v>
      </c>
      <c r="B11" s="42" t="s">
        <v>161</v>
      </c>
      <c r="C11" s="45" t="n">
        <f aca="false">'1. The Deal'!C12</f>
        <v>4</v>
      </c>
      <c r="D11" s="21" t="str">
        <f aca="false">IF(C11="","",IF(ABS(C11-4)&lt;=0.5,"OK","OUT"))</f>
        <v>OK</v>
      </c>
      <c r="E11" s="23" t="s">
        <v>152</v>
      </c>
    </row>
    <row r="12" customFormat="false" ht="15" hidden="false" customHeight="false" outlineLevel="0" collapsed="false">
      <c r="A12" s="20" t="s">
        <v>70</v>
      </c>
      <c r="B12" s="42" t="s">
        <v>162</v>
      </c>
      <c r="C12" s="40" t="n">
        <f aca="false">'2. Return'!B8</f>
        <v>1.45602272727273</v>
      </c>
      <c r="D12" s="21" t="str">
        <f aca="false">IF(C12="","",IF(AND(C12&gt;=1.4,C12&lt;=1.6),"OK","OUT"))</f>
        <v>OK</v>
      </c>
      <c r="E12" s="23" t="s">
        <v>163</v>
      </c>
    </row>
    <row r="13" customFormat="false" ht="15" hidden="false" customHeight="false" outlineLevel="0" collapsed="false">
      <c r="A13" s="20" t="s">
        <v>72</v>
      </c>
      <c r="B13" s="42" t="s">
        <v>164</v>
      </c>
      <c r="C13" s="41" t="n">
        <f aca="false">'2. Return'!B9</f>
        <v>0.14800386166172</v>
      </c>
      <c r="D13" s="21" t="str">
        <f aca="false">IF(C13="","",IF(AND(C13&gt;=0.13,C13&lt;=0.17),"OK","OUT"))</f>
        <v>OK</v>
      </c>
      <c r="E13" s="23" t="s">
        <v>165</v>
      </c>
    </row>
    <row r="14" customFormat="false" ht="15" hidden="false" customHeight="false" outlineLevel="0" collapsed="false">
      <c r="A14" s="20" t="s">
        <v>166</v>
      </c>
      <c r="B14" s="42" t="s">
        <v>167</v>
      </c>
      <c r="C14" s="44" t="n">
        <f aca="false">'3. Decomposition'!B17</f>
        <v>0.12</v>
      </c>
      <c r="D14" s="21" t="str">
        <f aca="false">IF(C14="","",IF(ABS(C14-0.12)&lt;=0.005,"OK","OUT"))</f>
        <v>OK</v>
      </c>
      <c r="E14" s="23" t="s">
        <v>152</v>
      </c>
    </row>
    <row r="15" customFormat="false" ht="15" hidden="false" customHeight="false" outlineLevel="0" collapsed="false">
      <c r="A15" s="20" t="s">
        <v>168</v>
      </c>
      <c r="B15" s="42" t="s">
        <v>169</v>
      </c>
      <c r="C15" s="46" t="str">
        <f aca="false">'3. Decomposition'!B19</f>
        <v>Company appreciation</v>
      </c>
      <c r="D15" s="21" t="str">
        <f aca="false">IF(C15="","",IF(C15="Company appreciation","OK","OUT"))</f>
        <v>OK</v>
      </c>
      <c r="E15" s="23" t="s">
        <v>152</v>
      </c>
    </row>
    <row r="16" customFormat="false" ht="15" hidden="false" customHeight="false" outlineLevel="0" collapsed="false">
      <c r="A16" s="20" t="s">
        <v>170</v>
      </c>
      <c r="B16" s="42" t="s">
        <v>171</v>
      </c>
      <c r="C16" s="40" t="n">
        <f aca="false">'4. Stress'!C24</f>
        <v>1.32954545454545</v>
      </c>
      <c r="D16" s="21" t="str">
        <f aca="false">IF(C16="","",IF(AND(C16&gt;=1.28,C16&lt;=1.38),"OK","OUT"))</f>
        <v>OK</v>
      </c>
      <c r="E16" s="23" t="s">
        <v>172</v>
      </c>
    </row>
    <row r="17" customFormat="false" ht="15" hidden="false" customHeight="false" outlineLevel="0" collapsed="false">
      <c r="A17" s="20" t="s">
        <v>173</v>
      </c>
      <c r="B17" s="42" t="s">
        <v>174</v>
      </c>
      <c r="C17" s="41" t="n">
        <f aca="false">'4. Stress'!C25</f>
        <v>0.0879980584225637</v>
      </c>
      <c r="D17" s="21" t="str">
        <f aca="false">IF(C17="","",IF(AND(C17&gt;=0.07,C17&lt;=0.1),"OK","OUT"))</f>
        <v>OK</v>
      </c>
      <c r="E17" s="23" t="s">
        <v>175</v>
      </c>
    </row>
    <row r="18" customFormat="false" ht="15" hidden="false" customHeight="false" outlineLevel="0" collapsed="false">
      <c r="A18" s="20" t="s">
        <v>176</v>
      </c>
      <c r="B18" s="42" t="s">
        <v>177</v>
      </c>
      <c r="C18" s="41" t="n">
        <f aca="false">'2. Return'!E22</f>
        <v>0.176470588235294</v>
      </c>
      <c r="D18" s="21" t="str">
        <f aca="false">IF(C18="","",IF(ABS(C18-0.18)&lt;=0.006,"OK","OUT"))</f>
        <v>OK</v>
      </c>
      <c r="E18" s="23" t="s">
        <v>152</v>
      </c>
    </row>
    <row r="19" customFormat="false" ht="15" hidden="false" customHeight="false" outlineLevel="0" collapsed="false">
      <c r="A19" s="20" t="s">
        <v>178</v>
      </c>
      <c r="B19" s="42" t="s">
        <v>179</v>
      </c>
      <c r="C19" s="41" t="n">
        <f aca="false">'2. Return'!E24</f>
        <v>0.0556671919780007</v>
      </c>
      <c r="D19" s="21" t="str">
        <f aca="false">IF(C19="","",IF(ABS(C19-0.055)&lt;=0.003,"OK","OUT"))</f>
        <v>OK</v>
      </c>
      <c r="E19" s="23" t="s">
        <v>152</v>
      </c>
    </row>
    <row r="20" customFormat="false" ht="15" hidden="false" customHeight="false" outlineLevel="0" collapsed="false">
      <c r="A20" s="20" t="s">
        <v>180</v>
      </c>
      <c r="B20" s="42" t="s">
        <v>181</v>
      </c>
      <c r="C20" s="41" t="n">
        <f aca="false">'2. Return'!E26</f>
        <v>0.0330378041139323</v>
      </c>
      <c r="D20" s="21" t="str">
        <f aca="false">IF(C20="","",IF(ABS(C20-0.033)&lt;=0.003,"OK","OUT"))</f>
        <v>OK</v>
      </c>
      <c r="E20" s="23" t="s">
        <v>152</v>
      </c>
    </row>
    <row r="21" customFormat="false" ht="15" hidden="false" customHeight="false" outlineLevel="0" collapsed="false">
      <c r="A21" s="20" t="s">
        <v>182</v>
      </c>
      <c r="B21" s="42" t="s">
        <v>183</v>
      </c>
      <c r="C21" s="40" t="n">
        <f aca="false">'2. Return'!D22</f>
        <v>1.17647058823529</v>
      </c>
      <c r="D21" s="21" t="str">
        <f aca="false">IF(C21="","",IF(ABS(C21-1.18)&lt;=0.006,"OK","OUT"))</f>
        <v>OK</v>
      </c>
      <c r="E21" s="23" t="s">
        <v>152</v>
      </c>
    </row>
    <row r="23" customFormat="false" ht="15" hidden="false" customHeight="false" outlineLevel="0" collapsed="false">
      <c r="A23" s="16" t="s">
        <v>184</v>
      </c>
      <c r="B23" s="47" t="n">
        <f aca="false">COUNTIF(D6:D21,"OK")</f>
        <v>16</v>
      </c>
      <c r="C23" s="47" t="n">
        <f aca="false">COUNTA(D6:D21)</f>
        <v>16</v>
      </c>
    </row>
    <row r="25" customFormat="false" ht="15" hidden="false" customHeight="true" outlineLevel="0" collapsed="false">
      <c r="A25" s="10" t="s">
        <v>185</v>
      </c>
      <c r="B25" s="10"/>
      <c r="C25" s="10"/>
      <c r="D25" s="10"/>
      <c r="E25" s="10"/>
    </row>
    <row r="26" customFormat="false" ht="15" hidden="false" customHeight="false" outlineLevel="0" collapsed="false">
      <c r="A26" s="10"/>
      <c r="B26" s="10"/>
      <c r="C26" s="10"/>
      <c r="D26" s="10"/>
      <c r="E26" s="10"/>
    </row>
    <row r="27" customFormat="false" ht="15" hidden="false" customHeight="false" outlineLevel="0" collapsed="false">
      <c r="A27" s="10"/>
      <c r="B27" s="10"/>
      <c r="C27" s="10"/>
      <c r="D27" s="10"/>
      <c r="E27" s="10"/>
    </row>
  </sheetData>
  <mergeCells count="1">
    <mergeCell ref="A25:E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2026-08-12T16:30:02Z</dcterms:created>
  <dc:creator>openpyxl</dc:creator>
  <dc:description/>
  <dc:language>en-US</dc:language>
  <cp:lastModifiedBy/>
  <dcterms:modified xsi:type="dcterms:W3CDTF">2026-08-12T16:30:02Z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