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Read Me" sheetId="1" state="visible" r:id="rId3"/>
    <sheet name="Summary" sheetId="2" state="visible" r:id="rId4"/>
    <sheet name="Assumptions" sheetId="3" state="visible" r:id="rId5"/>
    <sheet name="FFO and AFFO" sheetId="4" state="visible" r:id="rId6"/>
    <sheet name="NAV" sheetId="5" state="visible" r:id="rId7"/>
    <sheet name="Balance Sheet" sheetId="6" state="visible" r:id="rId8"/>
    <sheet name="Capital" sheetId="7" state="visible" r:id="rId9"/>
    <sheet name="Sensitivity" sheetId="8" state="visible" r:id="rId10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<sst xmlns="http://schemas.openxmlformats.org/spreadsheetml/2006/main" count="273" uniqueCount="241">
  <si>
    <t xml:space="preserve">Meridian Industrial Trust — the complete worked analysis</t>
  </si>
  <si>
    <t xml:space="preserve">Companion file to REIT Analysis and Valuation, by Julian R. Sterling — Chapter 19</t>
  </si>
  <si>
    <t xml:space="preserve">This workbook reproduces Chapter 19 in full. Every figure the chapter publishes is a live formula here,</t>
  </si>
  <si>
    <t xml:space="preserve">so you can change an assumption and watch the recommendation move.</t>
  </si>
  <si>
    <t xml:space="preserve">Where to start: open Assumptions, change the cap rate on line 12, and watch the Summary sheet.</t>
  </si>
  <si>
    <t xml:space="preserve">The implied cap rate does not move — it is set by the share price — but net asset value does, and so</t>
  </si>
  <si>
    <t xml:space="preserve">does the discount. That divergence is the whole argument of Chapters 7 and 8.</t>
  </si>
  <si>
    <t xml:space="preserve">Conventions</t>
  </si>
  <si>
    <t xml:space="preserve">    Blue text      a hardcoded input — you may edit these</t>
  </si>
  <si>
    <t xml:space="preserve">    Black text     a formula — do not overtype these</t>
  </si>
  <si>
    <t xml:space="preserve">    Green text     a link to another sheet</t>
  </si>
  <si>
    <t xml:space="preserve">    Yellow fill    the assumptions that carry the answer</t>
  </si>
  <si>
    <t xml:space="preserve">Sheets</t>
  </si>
  <si>
    <t xml:space="preserve">    Summary            the ten headline outputs, with six checks</t>
  </si>
  <si>
    <t xml:space="preserve">    Assumptions        every input, in one place</t>
  </si>
  <si>
    <t xml:space="preserve">    FFO and AFFO       Steps 2 and 3 of the chapter</t>
  </si>
  <si>
    <t xml:space="preserve">    NAV                Steps 4 and 5 — net asset value and the implied cap rate</t>
  </si>
  <si>
    <t xml:space="preserve">    Balance Sheet      Steps 6 and 7 — leverage and the dividend</t>
  </si>
  <si>
    <t xml:space="preserve">    Capital            Steps 8 and 9 — cost of capital, accretion, development</t>
  </si>
  <si>
    <t xml:space="preserve">    Sensitivity        net asset value across the cap rate band, and accretion across share prices</t>
  </si>
  <si>
    <t xml:space="preserve">One honest note</t>
  </si>
  <si>
    <t xml:space="preserve">The chapter publishes a net asset value sensitivity of $45.86 at a 5.00 percent cap rate and $40.36</t>
  </si>
  <si>
    <t xml:space="preserve">at 5.50 percent. Computed from the same inputs, those figures are $45.72 and $40.47 — the published</t>
  </si>
  <si>
    <t xml:space="preserve">pair corresponds to cap rates of 4.988 and 5.512 percent, which is rounding inside the published table.</t>
  </si>
  <si>
    <t xml:space="preserve">The Sensitivity sheet shows the live calculation and the published figures side by side, with the</t>
  </si>
  <si>
    <t xml:space="preserve">variance, rather than quietly reconciling to one or the other. The headline $42.97 at 5.25 percent</t>
  </si>
  <si>
    <t xml:space="preserve">reproduces exactly, as does every other number in the chapter.</t>
  </si>
  <si>
    <t xml:space="preserve">These files are provided for education. They are not investment advice, and Meridian Industrial Trust</t>
  </si>
  <si>
    <t xml:space="preserve">is fictional.</t>
  </si>
  <si>
    <t xml:space="preserve">Meridian Industrial Trust — summary</t>
  </si>
  <si>
    <t xml:space="preserve">Every figure below is computed on the other sheets. Change an input and this page moves.</t>
  </si>
  <si>
    <t xml:space="preserve">Checks — all six must read OK</t>
  </si>
  <si>
    <t xml:space="preserve">Funds from operations reconciles to the chapter</t>
  </si>
  <si>
    <t xml:space="preserve">532.0</t>
  </si>
  <si>
    <t xml:space="preserve">Adjusted funds from operations reconciles</t>
  </si>
  <si>
    <t xml:space="preserve">381.0</t>
  </si>
  <si>
    <t xml:space="preserve">Net asset value per share reconciles</t>
  </si>
  <si>
    <t xml:space="preserve">$42.97</t>
  </si>
  <si>
    <t xml:space="preserve">Implied cap rate reconciles</t>
  </si>
  <si>
    <t xml:space="preserve">6.21%</t>
  </si>
  <si>
    <t xml:space="preserve">Net debt / EBITDA reconciles</t>
  </si>
  <si>
    <t xml:space="preserve">4.76x</t>
  </si>
  <si>
    <t xml:space="preserve">Payout on adjusted funds from operations reconciles</t>
  </si>
  <si>
    <t xml:space="preserve">81.3%</t>
  </si>
  <si>
    <t xml:space="preserve">The ten headline outputs</t>
  </si>
  <si>
    <t xml:space="preserve">Funds from operations per share</t>
  </si>
  <si>
    <t xml:space="preserve">book: $2.878</t>
  </si>
  <si>
    <t xml:space="preserve">Adjusted funds from operations per share</t>
  </si>
  <si>
    <t xml:space="preserve">book: $2.117</t>
  </si>
  <si>
    <t xml:space="preserve">Price / adjusted funds from operations</t>
  </si>
  <si>
    <t xml:space="preserve">book: 16.3x</t>
  </si>
  <si>
    <t xml:space="preserve">Net asset value per share</t>
  </si>
  <si>
    <t xml:space="preserve">book: $42.97</t>
  </si>
  <si>
    <t xml:space="preserve">Discount to net asset value</t>
  </si>
  <si>
    <t xml:space="preserve">book: 19.7%</t>
  </si>
  <si>
    <t xml:space="preserve">Implied cap rate</t>
  </si>
  <si>
    <t xml:space="preserve">book: 6.21%</t>
  </si>
  <si>
    <t xml:space="preserve">Spread to transaction evidence</t>
  </si>
  <si>
    <t xml:space="preserve">book: 96 bp</t>
  </si>
  <si>
    <t xml:space="preserve">Net debt / EBITDA</t>
  </si>
  <si>
    <t xml:space="preserve">book: 4.76x</t>
  </si>
  <si>
    <t xml:space="preserve">Payout on adjusted funds from operations</t>
  </si>
  <si>
    <t xml:space="preserve">book: 81.3%</t>
  </si>
  <si>
    <t xml:space="preserve">Accretion from issuing equity today</t>
  </si>
  <si>
    <t xml:space="preserve">book: −0.89%</t>
  </si>
  <si>
    <t xml:space="preserve">The recommendation, in one line</t>
  </si>
  <si>
    <t xml:space="preserve">Meridian prices its buildings 96 basis points wider than comparable assets transact, is conservatively financed, and cannot acquire accretively at this share price.</t>
  </si>
  <si>
    <t xml:space="preserve">Assumptions</t>
  </si>
  <si>
    <t xml:space="preserve">In millions of dollars except per-share amounts. Blue cells are yours to change.</t>
  </si>
  <si>
    <t xml:space="preserve">Share count and price</t>
  </si>
  <si>
    <t xml:space="preserve">Fully diluted shares (millions)</t>
  </si>
  <si>
    <t xml:space="preserve">includes 8.4m exchangeable units</t>
  </si>
  <si>
    <t xml:space="preserve">Listed share count alone (millions)</t>
  </si>
  <si>
    <t xml:space="preserve">shown only to size the error — not used</t>
  </si>
  <si>
    <t xml:space="preserve">Share price</t>
  </si>
  <si>
    <t xml:space="preserve">Annual dividend per share</t>
  </si>
  <si>
    <t xml:space="preserve">Income statement</t>
  </si>
  <si>
    <t xml:space="preserve">Net income</t>
  </si>
  <si>
    <t xml:space="preserve">Real estate depreciation and amortization</t>
  </si>
  <si>
    <t xml:space="preserve">Gains on sale of depreciable property</t>
  </si>
  <si>
    <t xml:space="preserve">Joint venture adjustments</t>
  </si>
  <si>
    <t xml:space="preserve">Preferred dividends</t>
  </si>
  <si>
    <t xml:space="preserve">Adjusted funds from operations bridge</t>
  </si>
  <si>
    <t xml:space="preserve">Straight-line rent adjustment</t>
  </si>
  <si>
    <t xml:space="preserve">Above/below-market lease amortization, net</t>
  </si>
  <si>
    <t xml:space="preserve">Recurring maintenance capital expenditure</t>
  </si>
  <si>
    <t xml:space="preserve">Recurring tenant improvements and leasing commissions</t>
  </si>
  <si>
    <t xml:space="preserve">Amortization of debt issuance costs</t>
  </si>
  <si>
    <t xml:space="preserve">Balance sheet and portfolio</t>
  </si>
  <si>
    <t xml:space="preserve">Forward stabilized net operating income</t>
  </si>
  <si>
    <t xml:space="preserve">the assumption that carries the answer</t>
  </si>
  <si>
    <t xml:space="preserve">Cap rate</t>
  </si>
  <si>
    <t xml:space="preserve">General and administrative expense</t>
  </si>
  <si>
    <t xml:space="preserve">Interest expense</t>
  </si>
  <si>
    <t xml:space="preserve">Total debt (book and fair value)</t>
  </si>
  <si>
    <t xml:space="preserve">Cash</t>
  </si>
  <si>
    <t xml:space="preserve">Preferred equity</t>
  </si>
  <si>
    <t xml:space="preserve">Development in progress, at cost</t>
  </si>
  <si>
    <t xml:space="preserve">Land</t>
  </si>
  <si>
    <t xml:space="preserve">Other assets</t>
  </si>
  <si>
    <t xml:space="preserve">Other liabilities</t>
  </si>
  <si>
    <t xml:space="preserve">Development</t>
  </si>
  <si>
    <t xml:space="preserve">Expected stabilized yield on cost</t>
  </si>
  <si>
    <t xml:space="preserve">Operating statistics (disclosure, not used in the arithmetic)</t>
  </si>
  <si>
    <t xml:space="preserve">Occupancy</t>
  </si>
  <si>
    <t xml:space="preserve">Same-store NOI growth (cash)</t>
  </si>
  <si>
    <t xml:space="preserve">Cash leasing spread</t>
  </si>
  <si>
    <t xml:space="preserve">Weighted average lease term (years)</t>
  </si>
  <si>
    <t xml:space="preserve">Weighted average debt maturity (years)</t>
  </si>
  <si>
    <t xml:space="preserve">Fixed rate share of debt</t>
  </si>
  <si>
    <t xml:space="preserve">Funds from operations and adjusted funds from operations</t>
  </si>
  <si>
    <t xml:space="preserve">Chapter 19, Steps 2 and 3</t>
  </si>
  <si>
    <t xml:space="preserve">Step 2 — funds from operations</t>
  </si>
  <si>
    <t xml:space="preserve">plus real estate depreciation and amortization</t>
  </si>
  <si>
    <t xml:space="preserve">less gains on sale of depreciable property</t>
  </si>
  <si>
    <t xml:space="preserve">plus joint venture adjustments</t>
  </si>
  <si>
    <t xml:space="preserve">Funds from operations</t>
  </si>
  <si>
    <t xml:space="preserve">book: 532.0</t>
  </si>
  <si>
    <t xml:space="preserve">less preferred dividends</t>
  </si>
  <si>
    <t xml:space="preserve">Funds from operations to common</t>
  </si>
  <si>
    <t xml:space="preserve">book: 518.0</t>
  </si>
  <si>
    <t xml:space="preserve">Per share</t>
  </si>
  <si>
    <t xml:space="preserve">Step 3 — adjusted funds from operations</t>
  </si>
  <si>
    <t xml:space="preserve">less straight-line rent adjustment</t>
  </si>
  <si>
    <t xml:space="preserve">less above/below-market lease amortization, net</t>
  </si>
  <si>
    <t xml:space="preserve">less recurring maintenance capital expenditure</t>
  </si>
  <si>
    <t xml:space="preserve">less recurring tenant improvements and leasing commissions</t>
  </si>
  <si>
    <t xml:space="preserve">plus amortization of debt issuance costs</t>
  </si>
  <si>
    <t xml:space="preserve">Adjusted funds from operations</t>
  </si>
  <si>
    <t xml:space="preserve">book: 381.0</t>
  </si>
  <si>
    <t xml:space="preserve">Adjusted is below funds from operations by</t>
  </si>
  <si>
    <t xml:space="preserve">book: 26.4%</t>
  </si>
  <si>
    <t xml:space="preserve">The two multiples</t>
  </si>
  <si>
    <t xml:space="preserve">Price / funds from operations</t>
  </si>
  <si>
    <t xml:space="preserve">book: 12.0x</t>
  </si>
  <si>
    <t xml:space="preserve">Turns apart</t>
  </si>
  <si>
    <t xml:space="preserve">book: four and a third — a note quoting only the first has described a cheaper company than exists</t>
  </si>
  <si>
    <t xml:space="preserve">Net asset value and the implied cap rate</t>
  </si>
  <si>
    <t xml:space="preserve">Chapter 19, Steps 4 and 5</t>
  </si>
  <si>
    <t xml:space="preserve">Step 4 — net asset value</t>
  </si>
  <si>
    <t xml:space="preserve">Gross operating real estate value</t>
  </si>
  <si>
    <t xml:space="preserve">book: 9,904.8</t>
  </si>
  <si>
    <t xml:space="preserve">Debt, at fair value</t>
  </si>
  <si>
    <t xml:space="preserve">Net asset value</t>
  </si>
  <si>
    <t xml:space="preserve">book: 7,734.8</t>
  </si>
  <si>
    <t xml:space="preserve">Discount to net asset value at the current price</t>
  </si>
  <si>
    <t xml:space="preserve">Step 5 — the implied cap rate (the number to lead with)</t>
  </si>
  <si>
    <t xml:space="preserve">Market capitalization</t>
  </si>
  <si>
    <t xml:space="preserve">book: 6,210.0</t>
  </si>
  <si>
    <t xml:space="preserve">plus debt</t>
  </si>
  <si>
    <t xml:space="preserve">plus preferred</t>
  </si>
  <si>
    <t xml:space="preserve">plus other liabilities</t>
  </si>
  <si>
    <t xml:space="preserve">less cash</t>
  </si>
  <si>
    <t xml:space="preserve">less other assets</t>
  </si>
  <si>
    <t xml:space="preserve">less development</t>
  </si>
  <si>
    <t xml:space="preserve">less land</t>
  </si>
  <si>
    <t xml:space="preserve">Implied gross real estate value</t>
  </si>
  <si>
    <t xml:space="preserve">book: 8,380.0</t>
  </si>
  <si>
    <t xml:space="preserve">Priced wider than transaction evidence by</t>
  </si>
  <si>
    <t xml:space="preserve">book: 96 bp — that is the finding</t>
  </si>
  <si>
    <t xml:space="preserve">Leverage and the dividend</t>
  </si>
  <si>
    <t xml:space="preserve">Chapter 19, Steps 6 and 7</t>
  </si>
  <si>
    <t xml:space="preserve">Step 6 — the balance sheet</t>
  </si>
  <si>
    <t xml:space="preserve">Net debt</t>
  </si>
  <si>
    <t xml:space="preserve">book: 2,340.0</t>
  </si>
  <si>
    <t xml:space="preserve">EBITDA</t>
  </si>
  <si>
    <t xml:space="preserve">book: 492.0 — net operating income less overhead, plus 14.0 of joint venture EBITDA</t>
  </si>
  <si>
    <t xml:space="preserve">Gross asset value</t>
  </si>
  <si>
    <t xml:space="preserve">10,404.8</t>
  </si>
  <si>
    <t xml:space="preserve">Net debt / gross asset value</t>
  </si>
  <si>
    <t xml:space="preserve">book: 22.5%</t>
  </si>
  <si>
    <t xml:space="preserve">Enterprise value</t>
  </si>
  <si>
    <t xml:space="preserve">8,800.0</t>
  </si>
  <si>
    <t xml:space="preserve">Net debt / enterprise value</t>
  </si>
  <si>
    <t xml:space="preserve">book: 26.6%</t>
  </si>
  <si>
    <t xml:space="preserve">Interest coverage</t>
  </si>
  <si>
    <t xml:space="preserve">book: 5.02x</t>
  </si>
  <si>
    <t xml:space="preserve">Overhead as a share of net operating income</t>
  </si>
  <si>
    <t xml:space="preserve">book: 8.1%</t>
  </si>
  <si>
    <t xml:space="preserve">Overhead capitalized at the cap rate</t>
  </si>
  <si>
    <t xml:space="preserve">book: 800.0</t>
  </si>
  <si>
    <t xml:space="preserve">book: $4.44 — ten percent of net asset value, the cost of the corporate wrapper</t>
  </si>
  <si>
    <t xml:space="preserve">Step 7 — the dividend</t>
  </si>
  <si>
    <t xml:space="preserve">Dividend yield</t>
  </si>
  <si>
    <t xml:space="preserve">book: 4.99%</t>
  </si>
  <si>
    <t xml:space="preserve">Payout on funds from operations</t>
  </si>
  <si>
    <t xml:space="preserve">book: 59.8%</t>
  </si>
  <si>
    <t xml:space="preserve">book: 81.3% — the honest one; the first overstates the cushion by a wide margin</t>
  </si>
  <si>
    <t xml:space="preserve">Retained cash per share</t>
  </si>
  <si>
    <t xml:space="preserve">book: $0.397</t>
  </si>
  <si>
    <t xml:space="preserve">Retained cash, total</t>
  </si>
  <si>
    <t xml:space="preserve">book: 71.4</t>
  </si>
  <si>
    <t xml:space="preserve">Cost of capital, accretion and development</t>
  </si>
  <si>
    <t xml:space="preserve">Chapter 19, Steps 8, 9 and 10</t>
  </si>
  <si>
    <t xml:space="preserve">Step 8 — the cost of capital</t>
  </si>
  <si>
    <t xml:space="preserve">Cost of equity, proxied by the adjusted funds from operations yield</t>
  </si>
  <si>
    <t xml:space="preserve">book: 6.14%</t>
  </si>
  <si>
    <t xml:space="preserve">Acquisition cap rate available</t>
  </si>
  <si>
    <t xml:space="preserve">Accretion from issuing equity to acquire</t>
  </si>
  <si>
    <t xml:space="preserve">book: −89 bp — external growth is dilutive</t>
  </si>
  <si>
    <t xml:space="preserve">Step 9 — development</t>
  </si>
  <si>
    <t xml:space="preserve">Pipeline at cost</t>
  </si>
  <si>
    <t xml:space="preserve">Net operating income at stabilization</t>
  </si>
  <si>
    <t xml:space="preserve">book: 25.1</t>
  </si>
  <si>
    <t xml:space="preserve">Value at the cap rate</t>
  </si>
  <si>
    <t xml:space="preserve">book: 477.7</t>
  </si>
  <si>
    <t xml:space="preserve">Value creation</t>
  </si>
  <si>
    <t xml:space="preserve">book: 97.7</t>
  </si>
  <si>
    <t xml:space="preserve">book: $0.54</t>
  </si>
  <si>
    <t xml:space="preserve">As a share of net asset value</t>
  </si>
  <si>
    <t xml:space="preserve">book: 1.3%</t>
  </si>
  <si>
    <t xml:space="preserve">Development spread over the cap rate</t>
  </si>
  <si>
    <t xml:space="preserve">book: 135 bp — at the upper end of the usual requirement</t>
  </si>
  <si>
    <t xml:space="preserve">Yield on cost at which the pipeline stops creating value</t>
  </si>
  <si>
    <t xml:space="preserve">the threshold worth stating</t>
  </si>
  <si>
    <t xml:space="preserve">Step 10 — the base case return, before any re-rating</t>
  </si>
  <si>
    <t xml:space="preserve">Adjusted funds from operations growth</t>
  </si>
  <si>
    <t xml:space="preserve">driven by 5.4% same-store growth, partially offset by the share count</t>
  </si>
  <si>
    <t xml:space="preserve">Total return with no re-rating</t>
  </si>
  <si>
    <t xml:space="preserve">book: approximately 9%</t>
  </si>
  <si>
    <t xml:space="preserve">If the discount halves over three years, add</t>
  </si>
  <si>
    <t xml:space="preserve">book: roughly 3.9 percent a year</t>
  </si>
  <si>
    <t xml:space="preserve">Total in that case</t>
  </si>
  <si>
    <t xml:space="preserve">book: low teens</t>
  </si>
  <si>
    <t xml:space="preserve">Sensitivity</t>
  </si>
  <si>
    <t xml:space="preserve">A quarter point on the cap rate moves the answer by roughly seven percent.</t>
  </si>
  <si>
    <t xml:space="preserve">Gross value</t>
  </si>
  <si>
    <t xml:space="preserve">Discount at $34.50</t>
  </si>
  <si>
    <t xml:space="preserve">Published in the book</t>
  </si>
  <si>
    <t xml:space="preserve">Variance against the published sensitivity</t>
  </si>
  <si>
    <t xml:space="preserve">At 5.00%</t>
  </si>
  <si>
    <t xml:space="preserve">rounding inside the published table — the 5.25% headline reproduces exactly</t>
  </si>
  <si>
    <t xml:space="preserve">At 5.50%</t>
  </si>
  <si>
    <t xml:space="preserve">Accretion across share prices (Chapter 19, Step 8)</t>
  </si>
  <si>
    <t xml:space="preserve">Cost of equity</t>
  </si>
  <si>
    <t xml:space="preserve">Versus a 5.25% cap rate</t>
  </si>
  <si>
    <t xml:space="preserve">Verdict</t>
  </si>
  <si>
    <t xml:space="preserve">dilutive</t>
  </si>
  <si>
    <t xml:space="preserve">marginal</t>
  </si>
  <si>
    <t xml:space="preserve">accretive</t>
  </si>
  <si>
    <t xml:space="preserve">Book: 6.14% / −89 bp · 4.93% / +32 bp · 4.23% / +102 bp</t>
  </si>
</sst>
</file>

<file path=xl/styles.xml><?xml version="1.0" encoding="utf-8"?>
<styleSheet xmlns="http://schemas.openxmlformats.org/spreadsheetml/2006/main">
  <numFmts count="10">
    <numFmt numFmtId="164" formatCode="General"/>
    <numFmt numFmtId="165" formatCode="\$#,##0.00;&quot;($&quot;#,##0.00\);\-"/>
    <numFmt numFmtId="166" formatCode="0.00\x"/>
    <numFmt numFmtId="167" formatCode="0.0%"/>
    <numFmt numFmtId="168" formatCode="0.00%"/>
    <numFmt numFmtId="169" formatCode="#,##0&quot; bp&quot;"/>
    <numFmt numFmtId="170" formatCode="#,##0.0"/>
    <numFmt numFmtId="171" formatCode="#,##0.0;\(#,##0.0\);\-"/>
    <numFmt numFmtId="172" formatCode="0.0"/>
    <numFmt numFmtId="173" formatCode="0.00"/>
  </numFmts>
  <fonts count="11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4"/>
      <name val="Arial"/>
      <family val="0"/>
      <charset val="1"/>
    </font>
    <font>
      <i val="true"/>
      <sz val="9"/>
      <color rgb="FF595959"/>
      <name val="Arial"/>
      <family val="0"/>
      <charset val="1"/>
    </font>
    <font>
      <sz val="10"/>
      <name val="Arial"/>
      <family val="0"/>
      <charset val="1"/>
    </font>
    <font>
      <b val="true"/>
      <sz val="10"/>
      <name val="Arial"/>
      <family val="0"/>
      <charset val="1"/>
    </font>
    <font>
      <b val="true"/>
      <sz val="11"/>
      <name val="Arial"/>
      <family val="0"/>
      <charset val="1"/>
    </font>
    <font>
      <sz val="10"/>
      <color rgb="FF008000"/>
      <name val="Arial"/>
      <family val="0"/>
      <charset val="1"/>
    </font>
    <font>
      <sz val="10"/>
      <color rgb="FF0000FF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2F2F2"/>
        <bgColor rgb="FFFFFFCC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9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6" fontId="9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7" fontId="9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8" fontId="9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9" fontId="9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70" fontId="1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1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71" fontId="1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71" fontId="10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8" fontId="10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8" fontId="1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7" fontId="1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72" fontId="1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71" fontId="9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71" fontId="7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7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71" fontId="6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7" fontId="7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6" fontId="7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73" fontId="6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8" fontId="7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9" fontId="7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7" fontId="6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8" fontId="6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7" fillId="3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1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71" fontId="6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6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6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1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8" fontId="0" fillId="0" borderId="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9" fontId="0" fillId="0" borderId="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2F2F2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59595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worksheet" Target="worksheets/sheet6.xml"/><Relationship Id="rId9" Type="http://schemas.openxmlformats.org/officeDocument/2006/relationships/worksheet" Target="worksheets/sheet7.xml"/><Relationship Id="rId10" Type="http://schemas.openxmlformats.org/officeDocument/2006/relationships/worksheet" Target="worksheets/sheet8.xml"/><Relationship Id="rId11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35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10"/>
  </cols>
  <sheetData>
    <row r="1" customFormat="false" ht="17.35" hidden="false" customHeight="false" outlineLevel="0" collapsed="false">
      <c r="A1" s="2" t="s">
        <v>0</v>
      </c>
    </row>
    <row r="2" customFormat="false" ht="15" hidden="false" customHeight="false" outlineLevel="0" collapsed="false">
      <c r="A2" s="3" t="s">
        <v>1</v>
      </c>
    </row>
    <row r="4" customFormat="false" ht="15" hidden="false" customHeight="false" outlineLevel="0" collapsed="false">
      <c r="A4" s="4" t="s">
        <v>2</v>
      </c>
    </row>
    <row r="5" customFormat="false" ht="15" hidden="false" customHeight="false" outlineLevel="0" collapsed="false">
      <c r="A5" s="4" t="s">
        <v>3</v>
      </c>
    </row>
    <row r="6" customFormat="false" ht="15" hidden="false" customHeight="false" outlineLevel="0" collapsed="false">
      <c r="A6" s="4"/>
    </row>
    <row r="7" customFormat="false" ht="15" hidden="false" customHeight="false" outlineLevel="0" collapsed="false">
      <c r="A7" s="4" t="s">
        <v>4</v>
      </c>
    </row>
    <row r="8" customFormat="false" ht="15" hidden="false" customHeight="false" outlineLevel="0" collapsed="false">
      <c r="A8" s="4" t="s">
        <v>5</v>
      </c>
    </row>
    <row r="9" customFormat="false" ht="15" hidden="false" customHeight="false" outlineLevel="0" collapsed="false">
      <c r="A9" s="4" t="s">
        <v>6</v>
      </c>
    </row>
    <row r="10" customFormat="false" ht="15" hidden="false" customHeight="false" outlineLevel="0" collapsed="false">
      <c r="A10" s="4"/>
    </row>
    <row r="11" customFormat="false" ht="15" hidden="false" customHeight="false" outlineLevel="0" collapsed="false">
      <c r="A11" s="5" t="s">
        <v>7</v>
      </c>
    </row>
    <row r="12" customFormat="false" ht="15" hidden="false" customHeight="false" outlineLevel="0" collapsed="false">
      <c r="A12" s="4" t="s">
        <v>8</v>
      </c>
    </row>
    <row r="13" customFormat="false" ht="15" hidden="false" customHeight="false" outlineLevel="0" collapsed="false">
      <c r="A13" s="4" t="s">
        <v>9</v>
      </c>
    </row>
    <row r="14" customFormat="false" ht="15" hidden="false" customHeight="false" outlineLevel="0" collapsed="false">
      <c r="A14" s="4" t="s">
        <v>10</v>
      </c>
    </row>
    <row r="15" customFormat="false" ht="15" hidden="false" customHeight="false" outlineLevel="0" collapsed="false">
      <c r="A15" s="4" t="s">
        <v>11</v>
      </c>
    </row>
    <row r="16" customFormat="false" ht="15" hidden="false" customHeight="false" outlineLevel="0" collapsed="false">
      <c r="A16" s="4"/>
    </row>
    <row r="17" customFormat="false" ht="15" hidden="false" customHeight="false" outlineLevel="0" collapsed="false">
      <c r="A17" s="5" t="s">
        <v>12</v>
      </c>
    </row>
    <row r="18" customFormat="false" ht="15" hidden="false" customHeight="false" outlineLevel="0" collapsed="false">
      <c r="A18" s="4" t="s">
        <v>13</v>
      </c>
    </row>
    <row r="19" customFormat="false" ht="15" hidden="false" customHeight="false" outlineLevel="0" collapsed="false">
      <c r="A19" s="4" t="s">
        <v>14</v>
      </c>
    </row>
    <row r="20" customFormat="false" ht="15" hidden="false" customHeight="false" outlineLevel="0" collapsed="false">
      <c r="A20" s="4" t="s">
        <v>15</v>
      </c>
    </row>
    <row r="21" customFormat="false" ht="15" hidden="false" customHeight="false" outlineLevel="0" collapsed="false">
      <c r="A21" s="4" t="s">
        <v>16</v>
      </c>
    </row>
    <row r="22" customFormat="false" ht="15" hidden="false" customHeight="false" outlineLevel="0" collapsed="false">
      <c r="A22" s="4" t="s">
        <v>17</v>
      </c>
    </row>
    <row r="23" customFormat="false" ht="15" hidden="false" customHeight="false" outlineLevel="0" collapsed="false">
      <c r="A23" s="4" t="s">
        <v>18</v>
      </c>
    </row>
    <row r="24" customFormat="false" ht="15" hidden="false" customHeight="false" outlineLevel="0" collapsed="false">
      <c r="A24" s="4" t="s">
        <v>19</v>
      </c>
    </row>
    <row r="25" customFormat="false" ht="15" hidden="false" customHeight="false" outlineLevel="0" collapsed="false">
      <c r="A25" s="4"/>
    </row>
    <row r="26" customFormat="false" ht="15" hidden="false" customHeight="false" outlineLevel="0" collapsed="false">
      <c r="A26" s="5" t="s">
        <v>20</v>
      </c>
    </row>
    <row r="27" customFormat="false" ht="15" hidden="false" customHeight="false" outlineLevel="0" collapsed="false">
      <c r="A27" s="4" t="s">
        <v>21</v>
      </c>
    </row>
    <row r="28" customFormat="false" ht="15" hidden="false" customHeight="false" outlineLevel="0" collapsed="false">
      <c r="A28" s="4" t="s">
        <v>22</v>
      </c>
    </row>
    <row r="29" customFormat="false" ht="15" hidden="false" customHeight="false" outlineLevel="0" collapsed="false">
      <c r="A29" s="4" t="s">
        <v>23</v>
      </c>
    </row>
    <row r="30" customFormat="false" ht="15" hidden="false" customHeight="false" outlineLevel="0" collapsed="false">
      <c r="A30" s="4" t="s">
        <v>24</v>
      </c>
    </row>
    <row r="31" customFormat="false" ht="15" hidden="false" customHeight="false" outlineLevel="0" collapsed="false">
      <c r="A31" s="4" t="s">
        <v>25</v>
      </c>
    </row>
    <row r="32" customFormat="false" ht="15" hidden="false" customHeight="false" outlineLevel="0" collapsed="false">
      <c r="A32" s="4" t="s">
        <v>26</v>
      </c>
    </row>
    <row r="33" customFormat="false" ht="15" hidden="false" customHeight="false" outlineLevel="0" collapsed="false">
      <c r="A33" s="4"/>
    </row>
    <row r="34" customFormat="false" ht="15" hidden="false" customHeight="false" outlineLevel="0" collapsed="false">
      <c r="A34" s="4" t="s">
        <v>27</v>
      </c>
    </row>
    <row r="35" customFormat="false" ht="15" hidden="false" customHeight="false" outlineLevel="0" collapsed="false">
      <c r="A35" s="4" t="s">
        <v>28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C25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52"/>
    <col collapsed="false" customWidth="true" hidden="false" outlineLevel="0" max="2" min="2" style="1" width="18"/>
    <col collapsed="false" customWidth="true" hidden="false" outlineLevel="0" max="3" min="3" style="1" width="62"/>
  </cols>
  <sheetData>
    <row r="1" customFormat="false" ht="17.35" hidden="false" customHeight="false" outlineLevel="0" collapsed="false">
      <c r="A1" s="2" t="s">
        <v>29</v>
      </c>
    </row>
    <row r="2" customFormat="false" ht="15" hidden="false" customHeight="false" outlineLevel="0" collapsed="false">
      <c r="A2" s="3" t="s">
        <v>30</v>
      </c>
    </row>
    <row r="4" customFormat="false" ht="15" hidden="false" customHeight="false" outlineLevel="0" collapsed="false">
      <c r="A4" s="6" t="s">
        <v>31</v>
      </c>
    </row>
    <row r="5" customFormat="false" ht="15" hidden="false" customHeight="false" outlineLevel="0" collapsed="false">
      <c r="A5" s="4" t="s">
        <v>32</v>
      </c>
      <c r="B5" s="5" t="str">
        <f aca="false">IF(ABS('FFO and AFFO'!B9-532)&lt;0.05,"OK","CHECK")</f>
        <v>OK</v>
      </c>
      <c r="C5" s="3" t="s">
        <v>33</v>
      </c>
    </row>
    <row r="6" customFormat="false" ht="15" hidden="false" customHeight="false" outlineLevel="0" collapsed="false">
      <c r="A6" s="4" t="s">
        <v>34</v>
      </c>
      <c r="B6" s="5" t="str">
        <f aca="false">IF(ABS('FFO and AFFO'!B21-381)&lt;0.05,"OK","CHECK")</f>
        <v>OK</v>
      </c>
      <c r="C6" s="3" t="s">
        <v>35</v>
      </c>
    </row>
    <row r="7" customFormat="false" ht="15" hidden="false" customHeight="false" outlineLevel="0" collapsed="false">
      <c r="A7" s="4" t="s">
        <v>36</v>
      </c>
      <c r="B7" s="5" t="str">
        <f aca="false">IF(ABS(NAV!B16-42.97)&lt;0.005,"OK","CHECK")</f>
        <v>OK</v>
      </c>
      <c r="C7" s="3" t="s">
        <v>37</v>
      </c>
    </row>
    <row r="8" customFormat="false" ht="15" hidden="false" customHeight="false" outlineLevel="0" collapsed="false">
      <c r="A8" s="4" t="s">
        <v>38</v>
      </c>
      <c r="B8" s="5" t="str">
        <f aca="false">IF(ABS(NAV!B29-0.0621)&lt;0.00005,"OK","CHECK")</f>
        <v>OK</v>
      </c>
      <c r="C8" s="3" t="s">
        <v>39</v>
      </c>
    </row>
    <row r="9" customFormat="false" ht="15" hidden="false" customHeight="false" outlineLevel="0" collapsed="false">
      <c r="A9" s="4" t="s">
        <v>40</v>
      </c>
      <c r="B9" s="5" t="str">
        <f aca="false">IF(ABS('Balance Sheet'!B5/'Balance Sheet'!B6-4.76)&lt;0.005,"OK","CHECK")</f>
        <v>OK</v>
      </c>
      <c r="C9" s="3" t="s">
        <v>41</v>
      </c>
    </row>
    <row r="10" customFormat="false" ht="15" hidden="false" customHeight="false" outlineLevel="0" collapsed="false">
      <c r="A10" s="4" t="s">
        <v>42</v>
      </c>
      <c r="B10" s="5" t="str">
        <f aca="false">IF(ABS(Assumptions!$B$8/'FFO and AFFO'!$B$22-0.813)&lt;0.0005,"OK","CHECK")</f>
        <v>OK</v>
      </c>
      <c r="C10" s="3" t="s">
        <v>43</v>
      </c>
    </row>
    <row r="12" customFormat="false" ht="15" hidden="false" customHeight="false" outlineLevel="0" collapsed="false">
      <c r="A12" s="6" t="s">
        <v>44</v>
      </c>
    </row>
    <row r="13" customFormat="false" ht="15" hidden="false" customHeight="false" outlineLevel="0" collapsed="false">
      <c r="A13" s="4" t="s">
        <v>45</v>
      </c>
      <c r="B13" s="7" t="n">
        <f aca="false">'FFO and AFFO'!B12</f>
        <v>2.87777777777778</v>
      </c>
      <c r="C13" s="3" t="s">
        <v>46</v>
      </c>
    </row>
    <row r="14" customFormat="false" ht="15" hidden="false" customHeight="false" outlineLevel="0" collapsed="false">
      <c r="A14" s="4" t="s">
        <v>47</v>
      </c>
      <c r="B14" s="7" t="n">
        <f aca="false">'FFO and AFFO'!B22</f>
        <v>2.11666666666667</v>
      </c>
      <c r="C14" s="3" t="s">
        <v>48</v>
      </c>
    </row>
    <row r="15" customFormat="false" ht="15" hidden="false" customHeight="false" outlineLevel="0" collapsed="false">
      <c r="A15" s="4" t="s">
        <v>49</v>
      </c>
      <c r="B15" s="8" t="n">
        <f aca="false">'FFO and AFFO'!B27</f>
        <v>16.2992125984252</v>
      </c>
      <c r="C15" s="3" t="s">
        <v>50</v>
      </c>
    </row>
    <row r="16" customFormat="false" ht="15" hidden="false" customHeight="false" outlineLevel="0" collapsed="false">
      <c r="A16" s="4" t="s">
        <v>51</v>
      </c>
      <c r="B16" s="7" t="n">
        <f aca="false">NAV!B16</f>
        <v>42.9708994708995</v>
      </c>
      <c r="C16" s="3" t="s">
        <v>52</v>
      </c>
    </row>
    <row r="17" customFormat="false" ht="15" hidden="false" customHeight="false" outlineLevel="0" collapsed="false">
      <c r="A17" s="4" t="s">
        <v>53</v>
      </c>
      <c r="B17" s="9" t="n">
        <f aca="false">NAV!B17</f>
        <v>0.197131071846334</v>
      </c>
      <c r="C17" s="3" t="s">
        <v>54</v>
      </c>
    </row>
    <row r="18" customFormat="false" ht="15" hidden="false" customHeight="false" outlineLevel="0" collapsed="false">
      <c r="A18" s="4" t="s">
        <v>55</v>
      </c>
      <c r="B18" s="10" t="n">
        <f aca="false">NAV!B29</f>
        <v>0.0620525059665871</v>
      </c>
      <c r="C18" s="3" t="s">
        <v>56</v>
      </c>
    </row>
    <row r="19" customFormat="false" ht="15" hidden="false" customHeight="false" outlineLevel="0" collapsed="false">
      <c r="A19" s="4" t="s">
        <v>57</v>
      </c>
      <c r="B19" s="11" t="n">
        <f aca="false">(NAV!B29-Assumptions!$B$26)*10000</f>
        <v>95.5250596658711</v>
      </c>
      <c r="C19" s="3" t="s">
        <v>58</v>
      </c>
    </row>
    <row r="20" customFormat="false" ht="15" hidden="false" customHeight="false" outlineLevel="0" collapsed="false">
      <c r="A20" s="4" t="s">
        <v>59</v>
      </c>
      <c r="B20" s="8" t="n">
        <f aca="false">'Balance Sheet'!B5/'Balance Sheet'!B6</f>
        <v>4.75609756097561</v>
      </c>
      <c r="C20" s="3" t="s">
        <v>60</v>
      </c>
    </row>
    <row r="21" customFormat="false" ht="15" hidden="false" customHeight="false" outlineLevel="0" collapsed="false">
      <c r="A21" s="4" t="s">
        <v>61</v>
      </c>
      <c r="B21" s="9" t="n">
        <f aca="false">Assumptions!$B$8/'FFO and AFFO'!$B$22</f>
        <v>0.81259842519685</v>
      </c>
      <c r="C21" s="3" t="s">
        <v>62</v>
      </c>
    </row>
    <row r="22" customFormat="false" ht="15" hidden="false" customHeight="false" outlineLevel="0" collapsed="false">
      <c r="A22" s="4" t="s">
        <v>63</v>
      </c>
      <c r="B22" s="10" t="n">
        <f aca="false">Assumptions!$B$26-'FFO and AFFO'!$B$22/Assumptions!$B$7</f>
        <v>-0.00885265700483092</v>
      </c>
      <c r="C22" s="3" t="s">
        <v>64</v>
      </c>
    </row>
    <row r="24" customFormat="false" ht="15" hidden="false" customHeight="false" outlineLevel="0" collapsed="false">
      <c r="A24" s="6" t="s">
        <v>65</v>
      </c>
    </row>
    <row r="25" customFormat="false" ht="15" hidden="false" customHeight="false" outlineLevel="0" collapsed="false">
      <c r="A25" s="4" t="s">
        <v>66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C46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52"/>
    <col collapsed="false" customWidth="true" hidden="false" outlineLevel="0" max="2" min="2" style="1" width="16"/>
    <col collapsed="false" customWidth="true" hidden="false" outlineLevel="0" max="3" min="3" style="1" width="62"/>
  </cols>
  <sheetData>
    <row r="1" customFormat="false" ht="17.35" hidden="false" customHeight="false" outlineLevel="0" collapsed="false">
      <c r="A1" s="2" t="s">
        <v>67</v>
      </c>
    </row>
    <row r="2" customFormat="false" ht="15" hidden="false" customHeight="false" outlineLevel="0" collapsed="false">
      <c r="A2" s="3" t="s">
        <v>68</v>
      </c>
    </row>
    <row r="4" customFormat="false" ht="15" hidden="false" customHeight="false" outlineLevel="0" collapsed="false">
      <c r="A4" s="6" t="s">
        <v>69</v>
      </c>
    </row>
    <row r="5" customFormat="false" ht="15" hidden="false" customHeight="false" outlineLevel="0" collapsed="false">
      <c r="A5" s="4" t="s">
        <v>70</v>
      </c>
      <c r="B5" s="12" t="n">
        <v>180</v>
      </c>
      <c r="C5" s="3" t="s">
        <v>71</v>
      </c>
    </row>
    <row r="6" customFormat="false" ht="15" hidden="false" customHeight="false" outlineLevel="0" collapsed="false">
      <c r="A6" s="4" t="s">
        <v>72</v>
      </c>
      <c r="B6" s="12" t="n">
        <v>171.6</v>
      </c>
      <c r="C6" s="3" t="s">
        <v>73</v>
      </c>
    </row>
    <row r="7" customFormat="false" ht="15" hidden="false" customHeight="false" outlineLevel="0" collapsed="false">
      <c r="A7" s="4" t="s">
        <v>74</v>
      </c>
      <c r="B7" s="13" t="n">
        <v>34.5</v>
      </c>
    </row>
    <row r="8" customFormat="false" ht="15" hidden="false" customHeight="false" outlineLevel="0" collapsed="false">
      <c r="A8" s="4" t="s">
        <v>75</v>
      </c>
      <c r="B8" s="13" t="n">
        <v>1.72</v>
      </c>
    </row>
    <row r="10" customFormat="false" ht="15" hidden="false" customHeight="false" outlineLevel="0" collapsed="false">
      <c r="A10" s="6" t="s">
        <v>76</v>
      </c>
    </row>
    <row r="11" customFormat="false" ht="15" hidden="false" customHeight="false" outlineLevel="0" collapsed="false">
      <c r="A11" s="4" t="s">
        <v>77</v>
      </c>
      <c r="B11" s="14" t="n">
        <v>210</v>
      </c>
    </row>
    <row r="12" customFormat="false" ht="15" hidden="false" customHeight="false" outlineLevel="0" collapsed="false">
      <c r="A12" s="4" t="s">
        <v>78</v>
      </c>
      <c r="B12" s="14" t="n">
        <v>395</v>
      </c>
    </row>
    <row r="13" customFormat="false" ht="15" hidden="false" customHeight="false" outlineLevel="0" collapsed="false">
      <c r="A13" s="4" t="s">
        <v>79</v>
      </c>
      <c r="B13" s="14" t="n">
        <v>-85</v>
      </c>
    </row>
    <row r="14" customFormat="false" ht="15" hidden="false" customHeight="false" outlineLevel="0" collapsed="false">
      <c r="A14" s="4" t="s">
        <v>80</v>
      </c>
      <c r="B14" s="14" t="n">
        <v>12</v>
      </c>
    </row>
    <row r="15" customFormat="false" ht="15" hidden="false" customHeight="false" outlineLevel="0" collapsed="false">
      <c r="A15" s="4" t="s">
        <v>81</v>
      </c>
      <c r="B15" s="14" t="n">
        <v>-14</v>
      </c>
    </row>
    <row r="17" customFormat="false" ht="15" hidden="false" customHeight="false" outlineLevel="0" collapsed="false">
      <c r="A17" s="6" t="s">
        <v>82</v>
      </c>
    </row>
    <row r="18" customFormat="false" ht="15" hidden="false" customHeight="false" outlineLevel="0" collapsed="false">
      <c r="A18" s="4" t="s">
        <v>83</v>
      </c>
      <c r="B18" s="14" t="n">
        <v>-38</v>
      </c>
    </row>
    <row r="19" customFormat="false" ht="15" hidden="false" customHeight="false" outlineLevel="0" collapsed="false">
      <c r="A19" s="4" t="s">
        <v>84</v>
      </c>
      <c r="B19" s="14" t="n">
        <v>-6</v>
      </c>
    </row>
    <row r="20" customFormat="false" ht="15" hidden="false" customHeight="false" outlineLevel="0" collapsed="false">
      <c r="A20" s="4" t="s">
        <v>85</v>
      </c>
      <c r="B20" s="14" t="n">
        <v>-52</v>
      </c>
    </row>
    <row r="21" customFormat="false" ht="15" hidden="false" customHeight="false" outlineLevel="0" collapsed="false">
      <c r="A21" s="4" t="s">
        <v>86</v>
      </c>
      <c r="B21" s="14" t="n">
        <v>-46</v>
      </c>
    </row>
    <row r="22" customFormat="false" ht="15" hidden="false" customHeight="false" outlineLevel="0" collapsed="false">
      <c r="A22" s="4" t="s">
        <v>87</v>
      </c>
      <c r="B22" s="14" t="n">
        <v>5</v>
      </c>
    </row>
    <row r="24" customFormat="false" ht="15" hidden="false" customHeight="false" outlineLevel="0" collapsed="false">
      <c r="A24" s="6" t="s">
        <v>88</v>
      </c>
    </row>
    <row r="25" customFormat="false" ht="15" hidden="false" customHeight="false" outlineLevel="0" collapsed="false">
      <c r="A25" s="4" t="s">
        <v>89</v>
      </c>
      <c r="B25" s="15" t="n">
        <v>520</v>
      </c>
      <c r="C25" s="3" t="s">
        <v>90</v>
      </c>
    </row>
    <row r="26" customFormat="false" ht="15" hidden="false" customHeight="false" outlineLevel="0" collapsed="false">
      <c r="A26" s="4" t="s">
        <v>91</v>
      </c>
      <c r="B26" s="16" t="n">
        <v>0.0525</v>
      </c>
      <c r="C26" s="3" t="s">
        <v>90</v>
      </c>
    </row>
    <row r="27" customFormat="false" ht="15" hidden="false" customHeight="false" outlineLevel="0" collapsed="false">
      <c r="A27" s="4" t="s">
        <v>92</v>
      </c>
      <c r="B27" s="14" t="n">
        <v>42</v>
      </c>
    </row>
    <row r="28" customFormat="false" ht="15" hidden="false" customHeight="false" outlineLevel="0" collapsed="false">
      <c r="A28" s="4" t="s">
        <v>93</v>
      </c>
      <c r="B28" s="14" t="n">
        <v>98</v>
      </c>
    </row>
    <row r="29" customFormat="false" ht="15" hidden="false" customHeight="false" outlineLevel="0" collapsed="false">
      <c r="A29" s="4" t="s">
        <v>94</v>
      </c>
      <c r="B29" s="14" t="n">
        <v>2435</v>
      </c>
    </row>
    <row r="30" customFormat="false" ht="15" hidden="false" customHeight="false" outlineLevel="0" collapsed="false">
      <c r="A30" s="4" t="s">
        <v>95</v>
      </c>
      <c r="B30" s="14" t="n">
        <v>95</v>
      </c>
    </row>
    <row r="31" customFormat="false" ht="15" hidden="false" customHeight="false" outlineLevel="0" collapsed="false">
      <c r="A31" s="4" t="s">
        <v>96</v>
      </c>
      <c r="B31" s="14" t="n">
        <v>250</v>
      </c>
    </row>
    <row r="32" customFormat="false" ht="15" hidden="false" customHeight="false" outlineLevel="0" collapsed="false">
      <c r="A32" s="4" t="s">
        <v>97</v>
      </c>
      <c r="B32" s="14" t="n">
        <v>380</v>
      </c>
    </row>
    <row r="33" customFormat="false" ht="15" hidden="false" customHeight="false" outlineLevel="0" collapsed="false">
      <c r="A33" s="4" t="s">
        <v>98</v>
      </c>
      <c r="B33" s="14" t="n">
        <v>120</v>
      </c>
    </row>
    <row r="34" customFormat="false" ht="15" hidden="false" customHeight="false" outlineLevel="0" collapsed="false">
      <c r="A34" s="4" t="s">
        <v>99</v>
      </c>
      <c r="B34" s="14" t="n">
        <v>60</v>
      </c>
    </row>
    <row r="35" customFormat="false" ht="15" hidden="false" customHeight="false" outlineLevel="0" collapsed="false">
      <c r="A35" s="4" t="s">
        <v>100</v>
      </c>
      <c r="B35" s="14" t="n">
        <v>140</v>
      </c>
    </row>
    <row r="37" customFormat="false" ht="15" hidden="false" customHeight="false" outlineLevel="0" collapsed="false">
      <c r="A37" s="6" t="s">
        <v>101</v>
      </c>
    </row>
    <row r="38" customFormat="false" ht="15" hidden="false" customHeight="false" outlineLevel="0" collapsed="false">
      <c r="A38" s="4" t="s">
        <v>102</v>
      </c>
      <c r="B38" s="17" t="n">
        <v>0.066</v>
      </c>
    </row>
    <row r="40" customFormat="false" ht="15" hidden="false" customHeight="false" outlineLevel="0" collapsed="false">
      <c r="A40" s="6" t="s">
        <v>103</v>
      </c>
    </row>
    <row r="41" customFormat="false" ht="15" hidden="false" customHeight="false" outlineLevel="0" collapsed="false">
      <c r="A41" s="4" t="s">
        <v>104</v>
      </c>
      <c r="B41" s="18" t="n">
        <v>0.968</v>
      </c>
    </row>
    <row r="42" customFormat="false" ht="15" hidden="false" customHeight="false" outlineLevel="0" collapsed="false">
      <c r="A42" s="4" t="s">
        <v>105</v>
      </c>
      <c r="B42" s="18" t="n">
        <v>0.054</v>
      </c>
    </row>
    <row r="43" customFormat="false" ht="15" hidden="false" customHeight="false" outlineLevel="0" collapsed="false">
      <c r="A43" s="4" t="s">
        <v>106</v>
      </c>
      <c r="B43" s="18" t="n">
        <v>0.22</v>
      </c>
    </row>
    <row r="44" customFormat="false" ht="15" hidden="false" customHeight="false" outlineLevel="0" collapsed="false">
      <c r="A44" s="4" t="s">
        <v>107</v>
      </c>
      <c r="B44" s="19" t="n">
        <v>4.8</v>
      </c>
    </row>
    <row r="45" customFormat="false" ht="15" hidden="false" customHeight="false" outlineLevel="0" collapsed="false">
      <c r="A45" s="4" t="s">
        <v>108</v>
      </c>
      <c r="B45" s="19" t="n">
        <v>6.2</v>
      </c>
    </row>
    <row r="46" customFormat="false" ht="15" hidden="false" customHeight="false" outlineLevel="0" collapsed="false">
      <c r="A46" s="4" t="s">
        <v>109</v>
      </c>
      <c r="B46" s="18" t="n">
        <v>0.88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C28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52"/>
    <col collapsed="false" customWidth="true" hidden="false" outlineLevel="0" max="2" min="2" style="1" width="16"/>
    <col collapsed="false" customWidth="true" hidden="false" outlineLevel="0" max="3" min="3" style="1" width="62"/>
  </cols>
  <sheetData>
    <row r="1" customFormat="false" ht="17.35" hidden="false" customHeight="false" outlineLevel="0" collapsed="false">
      <c r="A1" s="2" t="s">
        <v>110</v>
      </c>
    </row>
    <row r="2" customFormat="false" ht="15" hidden="false" customHeight="false" outlineLevel="0" collapsed="false">
      <c r="A2" s="3" t="s">
        <v>111</v>
      </c>
    </row>
    <row r="4" customFormat="false" ht="15" hidden="false" customHeight="false" outlineLevel="0" collapsed="false">
      <c r="A4" s="6" t="s">
        <v>112</v>
      </c>
    </row>
    <row r="5" customFormat="false" ht="15" hidden="false" customHeight="false" outlineLevel="0" collapsed="false">
      <c r="A5" s="4" t="s">
        <v>77</v>
      </c>
      <c r="B5" s="20" t="n">
        <f aca="false">Assumptions!$B$11</f>
        <v>210</v>
      </c>
    </row>
    <row r="6" customFormat="false" ht="15" hidden="false" customHeight="false" outlineLevel="0" collapsed="false">
      <c r="A6" s="4" t="s">
        <v>113</v>
      </c>
      <c r="B6" s="20" t="n">
        <f aca="false">Assumptions!$B$12</f>
        <v>395</v>
      </c>
    </row>
    <row r="7" customFormat="false" ht="15" hidden="false" customHeight="false" outlineLevel="0" collapsed="false">
      <c r="A7" s="4" t="s">
        <v>114</v>
      </c>
      <c r="B7" s="20" t="n">
        <f aca="false">Assumptions!$B$13</f>
        <v>-85</v>
      </c>
    </row>
    <row r="8" customFormat="false" ht="15" hidden="false" customHeight="false" outlineLevel="0" collapsed="false">
      <c r="A8" s="4" t="s">
        <v>115</v>
      </c>
      <c r="B8" s="20" t="n">
        <f aca="false">Assumptions!$B$14</f>
        <v>12</v>
      </c>
    </row>
    <row r="9" customFormat="false" ht="15" hidden="false" customHeight="false" outlineLevel="0" collapsed="false">
      <c r="A9" s="4" t="s">
        <v>116</v>
      </c>
      <c r="B9" s="21" t="n">
        <f aca="false">SUM(B5:B8)</f>
        <v>532</v>
      </c>
      <c r="C9" s="3" t="s">
        <v>117</v>
      </c>
    </row>
    <row r="10" customFormat="false" ht="15" hidden="false" customHeight="false" outlineLevel="0" collapsed="false">
      <c r="A10" s="4" t="s">
        <v>118</v>
      </c>
      <c r="B10" s="20" t="n">
        <f aca="false">Assumptions!$B$15</f>
        <v>-14</v>
      </c>
    </row>
    <row r="11" customFormat="false" ht="15" hidden="false" customHeight="false" outlineLevel="0" collapsed="false">
      <c r="A11" s="4" t="s">
        <v>119</v>
      </c>
      <c r="B11" s="21" t="n">
        <f aca="false">B9+B10</f>
        <v>518</v>
      </c>
      <c r="C11" s="3" t="s">
        <v>120</v>
      </c>
    </row>
    <row r="12" customFormat="false" ht="15" hidden="false" customHeight="false" outlineLevel="0" collapsed="false">
      <c r="A12" s="4" t="s">
        <v>121</v>
      </c>
      <c r="B12" s="22" t="n">
        <f aca="false">B11/Assumptions!$B$5</f>
        <v>2.87777777777778</v>
      </c>
      <c r="C12" s="3" t="s">
        <v>46</v>
      </c>
    </row>
    <row r="14" customFormat="false" ht="15" hidden="false" customHeight="false" outlineLevel="0" collapsed="false">
      <c r="A14" s="6" t="s">
        <v>122</v>
      </c>
    </row>
    <row r="15" customFormat="false" ht="15" hidden="false" customHeight="false" outlineLevel="0" collapsed="false">
      <c r="A15" s="4" t="s">
        <v>119</v>
      </c>
      <c r="B15" s="23" t="n">
        <f aca="false">B11</f>
        <v>518</v>
      </c>
    </row>
    <row r="16" customFormat="false" ht="15" hidden="false" customHeight="false" outlineLevel="0" collapsed="false">
      <c r="A16" s="4" t="s">
        <v>123</v>
      </c>
      <c r="B16" s="20" t="n">
        <f aca="false">Assumptions!$B$18</f>
        <v>-38</v>
      </c>
    </row>
    <row r="17" customFormat="false" ht="15" hidden="false" customHeight="false" outlineLevel="0" collapsed="false">
      <c r="A17" s="4" t="s">
        <v>124</v>
      </c>
      <c r="B17" s="20" t="n">
        <f aca="false">Assumptions!$B$19</f>
        <v>-6</v>
      </c>
    </row>
    <row r="18" customFormat="false" ht="15" hidden="false" customHeight="false" outlineLevel="0" collapsed="false">
      <c r="A18" s="4" t="s">
        <v>125</v>
      </c>
      <c r="B18" s="20" t="n">
        <f aca="false">Assumptions!$B$20</f>
        <v>-52</v>
      </c>
    </row>
    <row r="19" customFormat="false" ht="15" hidden="false" customHeight="false" outlineLevel="0" collapsed="false">
      <c r="A19" s="4" t="s">
        <v>126</v>
      </c>
      <c r="B19" s="20" t="n">
        <f aca="false">Assumptions!$B$21</f>
        <v>-46</v>
      </c>
    </row>
    <row r="20" customFormat="false" ht="15" hidden="false" customHeight="false" outlineLevel="0" collapsed="false">
      <c r="A20" s="4" t="s">
        <v>127</v>
      </c>
      <c r="B20" s="20" t="n">
        <f aca="false">Assumptions!$B$22</f>
        <v>5</v>
      </c>
    </row>
    <row r="21" customFormat="false" ht="15" hidden="false" customHeight="false" outlineLevel="0" collapsed="false">
      <c r="A21" s="4" t="s">
        <v>128</v>
      </c>
      <c r="B21" s="21" t="n">
        <f aca="false">SUM(B15:B20)</f>
        <v>381</v>
      </c>
      <c r="C21" s="3" t="s">
        <v>129</v>
      </c>
    </row>
    <row r="22" customFormat="false" ht="15" hidden="false" customHeight="false" outlineLevel="0" collapsed="false">
      <c r="A22" s="4" t="s">
        <v>121</v>
      </c>
      <c r="B22" s="22" t="n">
        <f aca="false">B21/Assumptions!$B$5</f>
        <v>2.11666666666667</v>
      </c>
      <c r="C22" s="3" t="s">
        <v>48</v>
      </c>
    </row>
    <row r="23" customFormat="false" ht="15" hidden="false" customHeight="false" outlineLevel="0" collapsed="false">
      <c r="A23" s="4" t="s">
        <v>130</v>
      </c>
      <c r="B23" s="24" t="n">
        <f aca="false">1-B21/B11</f>
        <v>0.264478764478765</v>
      </c>
      <c r="C23" s="3" t="s">
        <v>131</v>
      </c>
    </row>
    <row r="25" customFormat="false" ht="15" hidden="false" customHeight="false" outlineLevel="0" collapsed="false">
      <c r="A25" s="6" t="s">
        <v>132</v>
      </c>
    </row>
    <row r="26" customFormat="false" ht="15" hidden="false" customHeight="false" outlineLevel="0" collapsed="false">
      <c r="A26" s="4" t="s">
        <v>133</v>
      </c>
      <c r="B26" s="25" t="n">
        <f aca="false">Assumptions!$B$7/B12</f>
        <v>11.988416988417</v>
      </c>
      <c r="C26" s="3" t="s">
        <v>134</v>
      </c>
    </row>
    <row r="27" customFormat="false" ht="15" hidden="false" customHeight="false" outlineLevel="0" collapsed="false">
      <c r="A27" s="4" t="s">
        <v>49</v>
      </c>
      <c r="B27" s="25" t="n">
        <f aca="false">Assumptions!$B$7/B22</f>
        <v>16.2992125984252</v>
      </c>
      <c r="C27" s="3" t="s">
        <v>50</v>
      </c>
    </row>
    <row r="28" customFormat="false" ht="15" hidden="false" customHeight="false" outlineLevel="0" collapsed="false">
      <c r="A28" s="4" t="s">
        <v>135</v>
      </c>
      <c r="B28" s="26" t="n">
        <f aca="false">B27-B26</f>
        <v>4.31079561000821</v>
      </c>
      <c r="C28" s="3" t="s">
        <v>136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C30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52"/>
    <col collapsed="false" customWidth="true" hidden="false" outlineLevel="0" max="2" min="2" style="1" width="16"/>
    <col collapsed="false" customWidth="true" hidden="false" outlineLevel="0" max="3" min="3" style="1" width="62"/>
  </cols>
  <sheetData>
    <row r="1" customFormat="false" ht="17.35" hidden="false" customHeight="false" outlineLevel="0" collapsed="false">
      <c r="A1" s="2" t="s">
        <v>137</v>
      </c>
    </row>
    <row r="2" customFormat="false" ht="15" hidden="false" customHeight="false" outlineLevel="0" collapsed="false">
      <c r="A2" s="3" t="s">
        <v>138</v>
      </c>
    </row>
    <row r="4" customFormat="false" ht="15" hidden="false" customHeight="false" outlineLevel="0" collapsed="false">
      <c r="A4" s="6" t="s">
        <v>139</v>
      </c>
    </row>
    <row r="5" customFormat="false" ht="15" hidden="false" customHeight="false" outlineLevel="0" collapsed="false">
      <c r="A5" s="4" t="s">
        <v>89</v>
      </c>
      <c r="B5" s="20" t="n">
        <f aca="false">Assumptions!$B$25</f>
        <v>520</v>
      </c>
    </row>
    <row r="6" customFormat="false" ht="15" hidden="false" customHeight="false" outlineLevel="0" collapsed="false">
      <c r="A6" s="4" t="s">
        <v>91</v>
      </c>
      <c r="B6" s="10" t="n">
        <f aca="false">Assumptions!$B$26</f>
        <v>0.0525</v>
      </c>
    </row>
    <row r="7" customFormat="false" ht="15" hidden="false" customHeight="false" outlineLevel="0" collapsed="false">
      <c r="A7" s="4" t="s">
        <v>140</v>
      </c>
      <c r="B7" s="21" t="n">
        <f aca="false">B5/B6</f>
        <v>9904.76190476191</v>
      </c>
      <c r="C7" s="3" t="s">
        <v>141</v>
      </c>
    </row>
    <row r="8" customFormat="false" ht="15" hidden="false" customHeight="false" outlineLevel="0" collapsed="false">
      <c r="A8" s="4" t="s">
        <v>97</v>
      </c>
      <c r="B8" s="20" t="n">
        <f aca="false">Assumptions!$B$32</f>
        <v>380</v>
      </c>
    </row>
    <row r="9" customFormat="false" ht="15" hidden="false" customHeight="false" outlineLevel="0" collapsed="false">
      <c r="A9" s="4" t="s">
        <v>98</v>
      </c>
      <c r="B9" s="20" t="n">
        <f aca="false">Assumptions!$B$33</f>
        <v>120</v>
      </c>
    </row>
    <row r="10" customFormat="false" ht="15" hidden="false" customHeight="false" outlineLevel="0" collapsed="false">
      <c r="A10" s="4" t="s">
        <v>95</v>
      </c>
      <c r="B10" s="20" t="n">
        <f aca="false">Assumptions!$B$30</f>
        <v>95</v>
      </c>
    </row>
    <row r="11" customFormat="false" ht="15" hidden="false" customHeight="false" outlineLevel="0" collapsed="false">
      <c r="A11" s="4" t="s">
        <v>99</v>
      </c>
      <c r="B11" s="20" t="n">
        <f aca="false">Assumptions!$B$34</f>
        <v>60</v>
      </c>
    </row>
    <row r="12" customFormat="false" ht="15" hidden="false" customHeight="false" outlineLevel="0" collapsed="false">
      <c r="A12" s="4" t="s">
        <v>142</v>
      </c>
      <c r="B12" s="20" t="n">
        <f aca="false">-Assumptions!$B$29</f>
        <v>-2435</v>
      </c>
    </row>
    <row r="13" customFormat="false" ht="15" hidden="false" customHeight="false" outlineLevel="0" collapsed="false">
      <c r="A13" s="4" t="s">
        <v>96</v>
      </c>
      <c r="B13" s="20" t="n">
        <f aca="false">-Assumptions!$B$31</f>
        <v>-250</v>
      </c>
    </row>
    <row r="14" customFormat="false" ht="15" hidden="false" customHeight="false" outlineLevel="0" collapsed="false">
      <c r="A14" s="4" t="s">
        <v>100</v>
      </c>
      <c r="B14" s="20" t="n">
        <f aca="false">-Assumptions!$B$35</f>
        <v>-140</v>
      </c>
    </row>
    <row r="15" customFormat="false" ht="15" hidden="false" customHeight="false" outlineLevel="0" collapsed="false">
      <c r="A15" s="4" t="s">
        <v>143</v>
      </c>
      <c r="B15" s="21" t="n">
        <f aca="false">B7+SUM(B8:B14)</f>
        <v>7734.76190476191</v>
      </c>
      <c r="C15" s="3" t="s">
        <v>144</v>
      </c>
    </row>
    <row r="16" customFormat="false" ht="15" hidden="false" customHeight="false" outlineLevel="0" collapsed="false">
      <c r="A16" s="4" t="s">
        <v>121</v>
      </c>
      <c r="B16" s="22" t="n">
        <f aca="false">B15/Assumptions!$B$5</f>
        <v>42.9708994708995</v>
      </c>
      <c r="C16" s="3" t="s">
        <v>52</v>
      </c>
    </row>
    <row r="17" customFormat="false" ht="15" hidden="false" customHeight="false" outlineLevel="0" collapsed="false">
      <c r="A17" s="4" t="s">
        <v>145</v>
      </c>
      <c r="B17" s="24" t="n">
        <f aca="false">1-Assumptions!$B$7/B16</f>
        <v>0.197131071846334</v>
      </c>
      <c r="C17" s="3" t="s">
        <v>54</v>
      </c>
    </row>
    <row r="19" customFormat="false" ht="15" hidden="false" customHeight="false" outlineLevel="0" collapsed="false">
      <c r="A19" s="6" t="s">
        <v>146</v>
      </c>
    </row>
    <row r="20" customFormat="false" ht="15" hidden="false" customHeight="false" outlineLevel="0" collapsed="false">
      <c r="A20" s="4" t="s">
        <v>147</v>
      </c>
      <c r="B20" s="23" t="n">
        <f aca="false">Assumptions!$B$5*Assumptions!$B$7</f>
        <v>6210</v>
      </c>
      <c r="C20" s="3" t="s">
        <v>148</v>
      </c>
    </row>
    <row r="21" customFormat="false" ht="15" hidden="false" customHeight="false" outlineLevel="0" collapsed="false">
      <c r="A21" s="4" t="s">
        <v>149</v>
      </c>
      <c r="B21" s="20" t="n">
        <f aca="false">Assumptions!$B$29</f>
        <v>2435</v>
      </c>
    </row>
    <row r="22" customFormat="false" ht="15" hidden="false" customHeight="false" outlineLevel="0" collapsed="false">
      <c r="A22" s="4" t="s">
        <v>150</v>
      </c>
      <c r="B22" s="20" t="n">
        <f aca="false">Assumptions!$B$31</f>
        <v>250</v>
      </c>
    </row>
    <row r="23" customFormat="false" ht="15" hidden="false" customHeight="false" outlineLevel="0" collapsed="false">
      <c r="A23" s="4" t="s">
        <v>151</v>
      </c>
      <c r="B23" s="20" t="n">
        <f aca="false">Assumptions!$B$35</f>
        <v>140</v>
      </c>
    </row>
    <row r="24" customFormat="false" ht="15" hidden="false" customHeight="false" outlineLevel="0" collapsed="false">
      <c r="A24" s="4" t="s">
        <v>152</v>
      </c>
      <c r="B24" s="20" t="n">
        <f aca="false">-Assumptions!$B$30</f>
        <v>-95</v>
      </c>
    </row>
    <row r="25" customFormat="false" ht="15" hidden="false" customHeight="false" outlineLevel="0" collapsed="false">
      <c r="A25" s="4" t="s">
        <v>153</v>
      </c>
      <c r="B25" s="20" t="n">
        <f aca="false">-Assumptions!$B$34</f>
        <v>-60</v>
      </c>
    </row>
    <row r="26" customFormat="false" ht="15" hidden="false" customHeight="false" outlineLevel="0" collapsed="false">
      <c r="A26" s="4" t="s">
        <v>154</v>
      </c>
      <c r="B26" s="20" t="n">
        <f aca="false">-Assumptions!$B$32</f>
        <v>-380</v>
      </c>
    </row>
    <row r="27" customFormat="false" ht="15" hidden="false" customHeight="false" outlineLevel="0" collapsed="false">
      <c r="A27" s="4" t="s">
        <v>155</v>
      </c>
      <c r="B27" s="20" t="n">
        <f aca="false">-Assumptions!$B$33</f>
        <v>-120</v>
      </c>
    </row>
    <row r="28" customFormat="false" ht="15" hidden="false" customHeight="false" outlineLevel="0" collapsed="false">
      <c r="A28" s="4" t="s">
        <v>156</v>
      </c>
      <c r="B28" s="21" t="n">
        <f aca="false">B20+SUM(B21:B27)</f>
        <v>8380</v>
      </c>
      <c r="C28" s="3" t="s">
        <v>157</v>
      </c>
    </row>
    <row r="29" customFormat="false" ht="15" hidden="false" customHeight="false" outlineLevel="0" collapsed="false">
      <c r="A29" s="4" t="s">
        <v>55</v>
      </c>
      <c r="B29" s="27" t="n">
        <f aca="false">Assumptions!$B$25/B28</f>
        <v>0.0620525059665871</v>
      </c>
      <c r="C29" s="3" t="s">
        <v>56</v>
      </c>
    </row>
    <row r="30" customFormat="false" ht="15" hidden="false" customHeight="false" outlineLevel="0" collapsed="false">
      <c r="A30" s="4" t="s">
        <v>158</v>
      </c>
      <c r="B30" s="28" t="n">
        <f aca="false">(B29-Assumptions!$B$26)*10000</f>
        <v>95.5250596658711</v>
      </c>
      <c r="C30" s="3" t="s">
        <v>159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C23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52"/>
    <col collapsed="false" customWidth="true" hidden="false" outlineLevel="0" max="2" min="2" style="1" width="16"/>
    <col collapsed="false" customWidth="true" hidden="false" outlineLevel="0" max="3" min="3" style="1" width="62"/>
  </cols>
  <sheetData>
    <row r="1" customFormat="false" ht="17.35" hidden="false" customHeight="false" outlineLevel="0" collapsed="false">
      <c r="A1" s="2" t="s">
        <v>160</v>
      </c>
    </row>
    <row r="2" customFormat="false" ht="15" hidden="false" customHeight="false" outlineLevel="0" collapsed="false">
      <c r="A2" s="3" t="s">
        <v>161</v>
      </c>
    </row>
    <row r="4" customFormat="false" ht="15" hidden="false" customHeight="false" outlineLevel="0" collapsed="false">
      <c r="A4" s="6" t="s">
        <v>162</v>
      </c>
    </row>
    <row r="5" customFormat="false" ht="15" hidden="false" customHeight="false" outlineLevel="0" collapsed="false">
      <c r="A5" s="4" t="s">
        <v>163</v>
      </c>
      <c r="B5" s="23" t="n">
        <f aca="false">Assumptions!$B$29-Assumptions!$B$30</f>
        <v>2340</v>
      </c>
      <c r="C5" s="3" t="s">
        <v>164</v>
      </c>
    </row>
    <row r="6" customFormat="false" ht="15" hidden="false" customHeight="false" outlineLevel="0" collapsed="false">
      <c r="A6" s="4" t="s">
        <v>165</v>
      </c>
      <c r="B6" s="23" t="n">
        <f aca="false">Assumptions!$B$25-Assumptions!$B$27+14</f>
        <v>492</v>
      </c>
      <c r="C6" s="3" t="s">
        <v>166</v>
      </c>
    </row>
    <row r="7" customFormat="false" ht="15" hidden="false" customHeight="false" outlineLevel="0" collapsed="false">
      <c r="A7" s="4" t="s">
        <v>59</v>
      </c>
      <c r="B7" s="25" t="n">
        <f aca="false">B5/B6</f>
        <v>4.75609756097561</v>
      </c>
      <c r="C7" s="3" t="s">
        <v>60</v>
      </c>
    </row>
    <row r="8" customFormat="false" ht="15" hidden="false" customHeight="false" outlineLevel="0" collapsed="false">
      <c r="A8" s="4" t="s">
        <v>167</v>
      </c>
      <c r="B8" s="23" t="n">
        <f aca="false">NAV!$B$7+Assumptions!$B$32+Assumptions!$B$33</f>
        <v>10404.7619047619</v>
      </c>
      <c r="C8" s="3" t="s">
        <v>168</v>
      </c>
    </row>
    <row r="9" customFormat="false" ht="15" hidden="false" customHeight="false" outlineLevel="0" collapsed="false">
      <c r="A9" s="4" t="s">
        <v>169</v>
      </c>
      <c r="B9" s="24" t="n">
        <f aca="false">B5/B8</f>
        <v>0.224897025171625</v>
      </c>
      <c r="C9" s="3" t="s">
        <v>170</v>
      </c>
    </row>
    <row r="10" customFormat="false" ht="15" hidden="false" customHeight="false" outlineLevel="0" collapsed="false">
      <c r="A10" s="4" t="s">
        <v>171</v>
      </c>
      <c r="B10" s="23" t="n">
        <f aca="false">Assumptions!$B$5*Assumptions!$B$7+Assumptions!$B$29+Assumptions!$B$31-Assumptions!$B$30</f>
        <v>8800</v>
      </c>
      <c r="C10" s="3" t="s">
        <v>172</v>
      </c>
    </row>
    <row r="11" customFormat="false" ht="15" hidden="false" customHeight="false" outlineLevel="0" collapsed="false">
      <c r="A11" s="4" t="s">
        <v>173</v>
      </c>
      <c r="B11" s="24" t="n">
        <f aca="false">B5/B10</f>
        <v>0.265909090909091</v>
      </c>
      <c r="C11" s="3" t="s">
        <v>174</v>
      </c>
    </row>
    <row r="12" customFormat="false" ht="15" hidden="false" customHeight="false" outlineLevel="0" collapsed="false">
      <c r="A12" s="4" t="s">
        <v>175</v>
      </c>
      <c r="B12" s="25" t="n">
        <f aca="false">B6/Assumptions!$B$28</f>
        <v>5.02040816326531</v>
      </c>
      <c r="C12" s="3" t="s">
        <v>176</v>
      </c>
    </row>
    <row r="14" customFormat="false" ht="15" hidden="false" customHeight="false" outlineLevel="0" collapsed="false">
      <c r="A14" s="4" t="s">
        <v>177</v>
      </c>
      <c r="B14" s="29" t="n">
        <f aca="false">Assumptions!$B$27/Assumptions!$B$25</f>
        <v>0.0807692307692308</v>
      </c>
      <c r="C14" s="3" t="s">
        <v>178</v>
      </c>
    </row>
    <row r="15" customFormat="false" ht="15" hidden="false" customHeight="false" outlineLevel="0" collapsed="false">
      <c r="A15" s="4" t="s">
        <v>179</v>
      </c>
      <c r="B15" s="23" t="n">
        <f aca="false">Assumptions!$B$27/Assumptions!$B$26</f>
        <v>800</v>
      </c>
      <c r="C15" s="3" t="s">
        <v>180</v>
      </c>
    </row>
    <row r="16" customFormat="false" ht="15" hidden="false" customHeight="false" outlineLevel="0" collapsed="false">
      <c r="A16" s="4" t="s">
        <v>121</v>
      </c>
      <c r="B16" s="22" t="n">
        <f aca="false">B15/Assumptions!$B$5</f>
        <v>4.44444444444445</v>
      </c>
      <c r="C16" s="3" t="s">
        <v>181</v>
      </c>
    </row>
    <row r="18" customFormat="false" ht="15" hidden="false" customHeight="false" outlineLevel="0" collapsed="false">
      <c r="A18" s="6" t="s">
        <v>182</v>
      </c>
    </row>
    <row r="19" customFormat="false" ht="15" hidden="false" customHeight="false" outlineLevel="0" collapsed="false">
      <c r="A19" s="4" t="s">
        <v>183</v>
      </c>
      <c r="B19" s="27" t="n">
        <f aca="false">Assumptions!$B$8/Assumptions!$B$7</f>
        <v>0.0498550724637681</v>
      </c>
      <c r="C19" s="3" t="s">
        <v>184</v>
      </c>
    </row>
    <row r="20" customFormat="false" ht="15" hidden="false" customHeight="false" outlineLevel="0" collapsed="false">
      <c r="A20" s="4" t="s">
        <v>185</v>
      </c>
      <c r="B20" s="24" t="n">
        <f aca="false">Assumptions!$B$8/'FFO and AFFO'!$B$12</f>
        <v>0.597683397683398</v>
      </c>
      <c r="C20" s="3" t="s">
        <v>186</v>
      </c>
    </row>
    <row r="21" customFormat="false" ht="15" hidden="false" customHeight="false" outlineLevel="0" collapsed="false">
      <c r="A21" s="4" t="s">
        <v>61</v>
      </c>
      <c r="B21" s="24" t="n">
        <f aca="false">Assumptions!$B$8/'FFO and AFFO'!$B$22</f>
        <v>0.81259842519685</v>
      </c>
      <c r="C21" s="3" t="s">
        <v>187</v>
      </c>
    </row>
    <row r="22" customFormat="false" ht="15" hidden="false" customHeight="false" outlineLevel="0" collapsed="false">
      <c r="A22" s="4" t="s">
        <v>188</v>
      </c>
      <c r="B22" s="22" t="n">
        <f aca="false">'FFO and AFFO'!$B$22-Assumptions!$B$8</f>
        <v>0.396666666666667</v>
      </c>
      <c r="C22" s="3" t="s">
        <v>189</v>
      </c>
    </row>
    <row r="23" customFormat="false" ht="15" hidden="false" customHeight="false" outlineLevel="0" collapsed="false">
      <c r="A23" s="4" t="s">
        <v>190</v>
      </c>
      <c r="B23" s="21" t="n">
        <f aca="false">B22*Assumptions!$B$5</f>
        <v>71.4</v>
      </c>
      <c r="C23" s="3" t="s">
        <v>191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C25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52"/>
    <col collapsed="false" customWidth="true" hidden="false" outlineLevel="0" max="2" min="2" style="1" width="16"/>
    <col collapsed="false" customWidth="true" hidden="false" outlineLevel="0" max="3" min="3" style="1" width="62"/>
  </cols>
  <sheetData>
    <row r="1" customFormat="false" ht="17.35" hidden="false" customHeight="false" outlineLevel="0" collapsed="false">
      <c r="A1" s="2" t="s">
        <v>192</v>
      </c>
    </row>
    <row r="2" customFormat="false" ht="15" hidden="false" customHeight="false" outlineLevel="0" collapsed="false">
      <c r="A2" s="3" t="s">
        <v>193</v>
      </c>
    </row>
    <row r="4" customFormat="false" ht="15" hidden="false" customHeight="false" outlineLevel="0" collapsed="false">
      <c r="A4" s="6" t="s">
        <v>194</v>
      </c>
    </row>
    <row r="5" customFormat="false" ht="15" hidden="false" customHeight="false" outlineLevel="0" collapsed="false">
      <c r="A5" s="4" t="s">
        <v>195</v>
      </c>
      <c r="B5" s="27" t="n">
        <f aca="false">'FFO and AFFO'!$B$22/Assumptions!$B$7</f>
        <v>0.0613526570048309</v>
      </c>
      <c r="C5" s="3" t="s">
        <v>196</v>
      </c>
    </row>
    <row r="6" customFormat="false" ht="15" hidden="false" customHeight="false" outlineLevel="0" collapsed="false">
      <c r="A6" s="4" t="s">
        <v>197</v>
      </c>
      <c r="B6" s="10" t="n">
        <f aca="false">Assumptions!$B$26</f>
        <v>0.0525</v>
      </c>
    </row>
    <row r="7" customFormat="false" ht="15" hidden="false" customHeight="false" outlineLevel="0" collapsed="false">
      <c r="A7" s="4" t="s">
        <v>198</v>
      </c>
      <c r="B7" s="28" t="n">
        <f aca="false">(Assumptions!$B$26-B5)*10000</f>
        <v>-88.5265700483092</v>
      </c>
      <c r="C7" s="3" t="s">
        <v>199</v>
      </c>
    </row>
    <row r="9" customFormat="false" ht="15" hidden="false" customHeight="false" outlineLevel="0" collapsed="false">
      <c r="A9" s="6" t="s">
        <v>200</v>
      </c>
    </row>
    <row r="10" customFormat="false" ht="15" hidden="false" customHeight="false" outlineLevel="0" collapsed="false">
      <c r="A10" s="4" t="s">
        <v>201</v>
      </c>
      <c r="B10" s="20" t="n">
        <f aca="false">Assumptions!$B$32</f>
        <v>380</v>
      </c>
    </row>
    <row r="11" customFormat="false" ht="15" hidden="false" customHeight="false" outlineLevel="0" collapsed="false">
      <c r="A11" s="4" t="s">
        <v>202</v>
      </c>
      <c r="B11" s="23" t="n">
        <f aca="false">Assumptions!$B$32*Assumptions!$B$38</f>
        <v>25.08</v>
      </c>
      <c r="C11" s="3" t="s">
        <v>203</v>
      </c>
    </row>
    <row r="12" customFormat="false" ht="15" hidden="false" customHeight="false" outlineLevel="0" collapsed="false">
      <c r="A12" s="4" t="s">
        <v>204</v>
      </c>
      <c r="B12" s="23" t="n">
        <f aca="false">B11/Assumptions!$B$26</f>
        <v>477.714285714286</v>
      </c>
      <c r="C12" s="3" t="s">
        <v>205</v>
      </c>
    </row>
    <row r="13" customFormat="false" ht="15" hidden="false" customHeight="false" outlineLevel="0" collapsed="false">
      <c r="A13" s="4" t="s">
        <v>206</v>
      </c>
      <c r="B13" s="21" t="n">
        <f aca="false">B12-Assumptions!$B$32</f>
        <v>97.7142857142858</v>
      </c>
      <c r="C13" s="3" t="s">
        <v>207</v>
      </c>
    </row>
    <row r="14" customFormat="false" ht="15" hidden="false" customHeight="false" outlineLevel="0" collapsed="false">
      <c r="A14" s="4" t="s">
        <v>121</v>
      </c>
      <c r="B14" s="22" t="n">
        <f aca="false">B13/Assumptions!$B$5</f>
        <v>0.542857142857143</v>
      </c>
      <c r="C14" s="3" t="s">
        <v>208</v>
      </c>
    </row>
    <row r="15" customFormat="false" ht="15" hidden="false" customHeight="false" outlineLevel="0" collapsed="false">
      <c r="A15" s="4" t="s">
        <v>209</v>
      </c>
      <c r="B15" s="29" t="n">
        <f aca="false">B13/NAV!$B$15</f>
        <v>0.0126331342732254</v>
      </c>
      <c r="C15" s="3" t="s">
        <v>210</v>
      </c>
    </row>
    <row r="16" customFormat="false" ht="15" hidden="false" customHeight="false" outlineLevel="0" collapsed="false">
      <c r="A16" s="4" t="s">
        <v>211</v>
      </c>
      <c r="B16" s="28" t="n">
        <f aca="false">(Assumptions!$B$38-Assumptions!$B$26)*10000</f>
        <v>135</v>
      </c>
      <c r="C16" s="3" t="s">
        <v>212</v>
      </c>
    </row>
    <row r="17" customFormat="false" ht="15" hidden="false" customHeight="false" outlineLevel="0" collapsed="false">
      <c r="A17" s="4" t="s">
        <v>213</v>
      </c>
      <c r="B17" s="30" t="n">
        <f aca="false">Assumptions!$B$26</f>
        <v>0.0525</v>
      </c>
      <c r="C17" s="3" t="s">
        <v>214</v>
      </c>
    </row>
    <row r="19" customFormat="false" ht="15" hidden="false" customHeight="false" outlineLevel="0" collapsed="false">
      <c r="A19" s="6" t="s">
        <v>215</v>
      </c>
    </row>
    <row r="20" customFormat="false" ht="15" hidden="false" customHeight="false" outlineLevel="0" collapsed="false">
      <c r="A20" s="4" t="s">
        <v>183</v>
      </c>
      <c r="B20" s="10" t="n">
        <f aca="false">'Balance Sheet'!$B$19</f>
        <v>0.0498550724637681</v>
      </c>
    </row>
    <row r="21" customFormat="false" ht="15" hidden="false" customHeight="false" outlineLevel="0" collapsed="false">
      <c r="A21" s="4" t="s">
        <v>216</v>
      </c>
      <c r="B21" s="18" t="n">
        <v>0.04</v>
      </c>
      <c r="C21" s="3" t="s">
        <v>217</v>
      </c>
    </row>
    <row r="22" customFormat="false" ht="15" hidden="false" customHeight="false" outlineLevel="0" collapsed="false">
      <c r="A22" s="4" t="s">
        <v>218</v>
      </c>
      <c r="B22" s="24" t="n">
        <f aca="false">'Balance Sheet'!$B$19+B21</f>
        <v>0.0898550724637681</v>
      </c>
      <c r="C22" s="3" t="s">
        <v>219</v>
      </c>
    </row>
    <row r="24" customFormat="false" ht="15" hidden="false" customHeight="false" outlineLevel="0" collapsed="false">
      <c r="A24" s="4" t="s">
        <v>220</v>
      </c>
      <c r="B24" s="29" t="n">
        <f aca="false">(1/(1-NAV!$B$17/2)-1)/3</f>
        <v>0.0364476619769612</v>
      </c>
      <c r="C24" s="3" t="s">
        <v>221</v>
      </c>
    </row>
    <row r="25" customFormat="false" ht="15" hidden="false" customHeight="false" outlineLevel="0" collapsed="false">
      <c r="A25" s="4" t="s">
        <v>222</v>
      </c>
      <c r="B25" s="24" t="n">
        <f aca="false">B22+B24</f>
        <v>0.126302734440729</v>
      </c>
      <c r="C25" s="3" t="s">
        <v>223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F2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6"/>
    <col collapsed="false" customWidth="true" hidden="false" outlineLevel="0" max="4" min="2" style="1" width="18"/>
    <col collapsed="false" customWidth="true" hidden="false" outlineLevel="0" max="5" min="5" style="1" width="20"/>
    <col collapsed="false" customWidth="true" hidden="false" outlineLevel="0" max="6" min="6" style="1" width="30"/>
  </cols>
  <sheetData>
    <row r="1" customFormat="false" ht="17.35" hidden="false" customHeight="false" outlineLevel="0" collapsed="false">
      <c r="A1" s="2" t="s">
        <v>224</v>
      </c>
    </row>
    <row r="2" customFormat="false" ht="15" hidden="false" customHeight="false" outlineLevel="0" collapsed="false">
      <c r="A2" s="3" t="s">
        <v>225</v>
      </c>
    </row>
    <row r="4" customFormat="false" ht="15" hidden="false" customHeight="false" outlineLevel="0" collapsed="false">
      <c r="A4" s="31" t="s">
        <v>91</v>
      </c>
      <c r="B4" s="31" t="s">
        <v>226</v>
      </c>
      <c r="C4" s="31" t="s">
        <v>143</v>
      </c>
      <c r="D4" s="31" t="s">
        <v>121</v>
      </c>
      <c r="E4" s="31" t="s">
        <v>227</v>
      </c>
      <c r="F4" s="31" t="s">
        <v>228</v>
      </c>
    </row>
    <row r="5" customFormat="false" ht="15" hidden="false" customHeight="false" outlineLevel="0" collapsed="false">
      <c r="A5" s="32" t="n">
        <v>0.0475</v>
      </c>
      <c r="B5" s="33" t="n">
        <f aca="false">Assumptions!$B$25/A5</f>
        <v>10947.3684210526</v>
      </c>
      <c r="C5" s="33" t="n">
        <f aca="false">B5+Assumptions!$B$32+Assumptions!$B$33+Assumptions!$B$30+Assumptions!$B$34-Assumptions!$B$29-Assumptions!$B$31-Assumptions!$B$35</f>
        <v>8777.36842105263</v>
      </c>
      <c r="D5" s="34" t="n">
        <f aca="false">C5/Assumptions!$B$5</f>
        <v>48.7631578947368</v>
      </c>
      <c r="E5" s="35" t="n">
        <f aca="false">1-Assumptions!$B$7/D5</f>
        <v>0.292498650836481</v>
      </c>
      <c r="F5" s="36"/>
    </row>
    <row r="6" customFormat="false" ht="15" hidden="false" customHeight="false" outlineLevel="0" collapsed="false">
      <c r="A6" s="32" t="n">
        <v>0.05</v>
      </c>
      <c r="B6" s="33" t="n">
        <f aca="false">Assumptions!$B$25/A6</f>
        <v>10400</v>
      </c>
      <c r="C6" s="33" t="n">
        <f aca="false">B6+Assumptions!$B$32+Assumptions!$B$33+Assumptions!$B$30+Assumptions!$B$34-Assumptions!$B$29-Assumptions!$B$31-Assumptions!$B$35</f>
        <v>8230</v>
      </c>
      <c r="D6" s="34" t="n">
        <f aca="false">C6/Assumptions!$B$5</f>
        <v>45.7222222222222</v>
      </c>
      <c r="E6" s="35" t="n">
        <f aca="false">1-Assumptions!$B$7/D6</f>
        <v>0.245443499392467</v>
      </c>
      <c r="F6" s="37" t="n">
        <v>45.86</v>
      </c>
    </row>
    <row r="7" customFormat="false" ht="15" hidden="false" customHeight="false" outlineLevel="0" collapsed="false">
      <c r="A7" s="32" t="n">
        <v>0.0525</v>
      </c>
      <c r="B7" s="33" t="n">
        <f aca="false">Assumptions!$B$25/A7</f>
        <v>9904.76190476191</v>
      </c>
      <c r="C7" s="33" t="n">
        <f aca="false">B7+Assumptions!$B$32+Assumptions!$B$33+Assumptions!$B$30+Assumptions!$B$34-Assumptions!$B$29-Assumptions!$B$31-Assumptions!$B$35</f>
        <v>7734.76190476191</v>
      </c>
      <c r="D7" s="34" t="n">
        <f aca="false">C7/Assumptions!$B$5</f>
        <v>42.9708994708995</v>
      </c>
      <c r="E7" s="35" t="n">
        <f aca="false">1-Assumptions!$B$7/D7</f>
        <v>0.197131071846334</v>
      </c>
      <c r="F7" s="37" t="n">
        <v>42.97</v>
      </c>
    </row>
    <row r="8" customFormat="false" ht="15" hidden="false" customHeight="false" outlineLevel="0" collapsed="false">
      <c r="A8" s="32" t="n">
        <v>0.055</v>
      </c>
      <c r="B8" s="33" t="n">
        <f aca="false">Assumptions!$B$25/A8</f>
        <v>9454.54545454545</v>
      </c>
      <c r="C8" s="33" t="n">
        <f aca="false">B8+Assumptions!$B$32+Assumptions!$B$33+Assumptions!$B$30+Assumptions!$B$34-Assumptions!$B$29-Assumptions!$B$31-Assumptions!$B$35</f>
        <v>7284.54545454545</v>
      </c>
      <c r="D8" s="34" t="n">
        <f aca="false">C8/Assumptions!$B$5</f>
        <v>40.469696969697</v>
      </c>
      <c r="E8" s="35" t="n">
        <f aca="false">1-Assumptions!$B$7/D8</f>
        <v>0.147510295769375</v>
      </c>
      <c r="F8" s="37" t="n">
        <v>40.36</v>
      </c>
    </row>
    <row r="9" customFormat="false" ht="15" hidden="false" customHeight="false" outlineLevel="0" collapsed="false">
      <c r="A9" s="32" t="n">
        <v>0.0575</v>
      </c>
      <c r="B9" s="33" t="n">
        <f aca="false">Assumptions!$B$25/A9</f>
        <v>9043.47826086956</v>
      </c>
      <c r="C9" s="33" t="n">
        <f aca="false">B9+Assumptions!$B$32+Assumptions!$B$33+Assumptions!$B$30+Assumptions!$B$34-Assumptions!$B$29-Assumptions!$B$31-Assumptions!$B$35</f>
        <v>6873.47826086956</v>
      </c>
      <c r="D9" s="34" t="n">
        <f aca="false">C9/Assumptions!$B$5</f>
        <v>38.1859903381642</v>
      </c>
      <c r="E9" s="35" t="n">
        <f aca="false">1-Assumptions!$B$7/D9</f>
        <v>0.0965272945790371</v>
      </c>
      <c r="F9" s="36"/>
    </row>
    <row r="11" customFormat="false" ht="15" hidden="false" customHeight="false" outlineLevel="0" collapsed="false">
      <c r="A11" s="6" t="s">
        <v>229</v>
      </c>
    </row>
    <row r="12" customFormat="false" ht="15" hidden="false" customHeight="false" outlineLevel="0" collapsed="false">
      <c r="A12" s="4" t="s">
        <v>230</v>
      </c>
      <c r="B12" s="22" t="n">
        <f aca="false">D6-F6</f>
        <v>-0.137777777777778</v>
      </c>
      <c r="C12" s="38" t="n">
        <f aca="false">ABS(D6/F6-1)</f>
        <v>0.00300431264234147</v>
      </c>
      <c r="D12" s="3" t="s">
        <v>231</v>
      </c>
    </row>
    <row r="13" customFormat="false" ht="15" hidden="false" customHeight="false" outlineLevel="0" collapsed="false">
      <c r="A13" s="4" t="s">
        <v>232</v>
      </c>
      <c r="B13" s="22" t="n">
        <f aca="false">D8-F8</f>
        <v>0.109696969696969</v>
      </c>
      <c r="C13" s="38" t="n">
        <f aca="false">ABS(D8/F8-1)</f>
        <v>0.00271796257921131</v>
      </c>
      <c r="D13" s="3" t="s">
        <v>231</v>
      </c>
    </row>
    <row r="15" customFormat="false" ht="15" hidden="false" customHeight="false" outlineLevel="0" collapsed="false">
      <c r="A15" s="6" t="s">
        <v>233</v>
      </c>
    </row>
    <row r="16" customFormat="false" ht="15" hidden="false" customHeight="false" outlineLevel="0" collapsed="false">
      <c r="A16" s="31" t="s">
        <v>74</v>
      </c>
      <c r="B16" s="31" t="s">
        <v>234</v>
      </c>
      <c r="C16" s="31" t="s">
        <v>235</v>
      </c>
      <c r="D16" s="31" t="s">
        <v>236</v>
      </c>
    </row>
    <row r="17" customFormat="false" ht="15" hidden="false" customHeight="false" outlineLevel="0" collapsed="false">
      <c r="A17" s="37" t="n">
        <v>34.5</v>
      </c>
      <c r="B17" s="39" t="n">
        <f aca="false">'FFO and AFFO'!$B$22/A17</f>
        <v>0.0613526570048309</v>
      </c>
      <c r="C17" s="40" t="n">
        <f aca="false">(Assumptions!$B$26-B17)*10000</f>
        <v>-88.5265700483092</v>
      </c>
      <c r="D17" s="41" t="s">
        <v>237</v>
      </c>
    </row>
    <row r="18" customFormat="false" ht="15" hidden="false" customHeight="false" outlineLevel="0" collapsed="false">
      <c r="A18" s="37" t="n">
        <v>42.97</v>
      </c>
      <c r="B18" s="39" t="n">
        <f aca="false">'FFO and AFFO'!$B$22/A18</f>
        <v>0.0492591730664805</v>
      </c>
      <c r="C18" s="40" t="n">
        <f aca="false">(Assumptions!$B$26-B18)*10000</f>
        <v>32.4082693351951</v>
      </c>
      <c r="D18" s="41" t="s">
        <v>238</v>
      </c>
    </row>
    <row r="19" customFormat="false" ht="15" hidden="false" customHeight="false" outlineLevel="0" collapsed="false">
      <c r="A19" s="37" t="n">
        <v>50</v>
      </c>
      <c r="B19" s="39" t="n">
        <f aca="false">'FFO and AFFO'!$B$22/A19</f>
        <v>0.0423333333333333</v>
      </c>
      <c r="C19" s="40" t="n">
        <f aca="false">(Assumptions!$B$26-B19)*10000</f>
        <v>101.666666666667</v>
      </c>
      <c r="D19" s="41" t="s">
        <v>239</v>
      </c>
    </row>
    <row r="21" customFormat="false" ht="15" hidden="false" customHeight="false" outlineLevel="0" collapsed="false">
      <c r="A21" s="3" t="s">
        <v>240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2026-08-12T15:34:47Z</dcterms:created>
  <dc:creator>openpyxl</dc:creator>
  <dc:description/>
  <dc:language>en-US</dc:language>
  <cp:lastModifiedBy/>
  <dcterms:modified xsi:type="dcterms:W3CDTF">2026-08-12T15:34:47Z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