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4.xml.rels" ContentType="application/vnd.openxmlformats-package.relationships+xml"/>
  <Override PartName="/xl/worksheets/_rels/sheet2.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2.xml" ContentType="application/vnd.openxmlformats-officedocument.spreadsheetml.comments+xml"/>
  <Override PartName="/xl/drawings/vmlDrawing1.vml" ContentType="application/vnd.openxmlformats-officedocument.vmlDrawing"/>
  <Override PartName="/xl/drawings/vmlDrawing2.vml" ContentType="application/vnd.openxmlformats-officedocument.vmlDrawing"/>
  <Override PartName="/xl/_rels/workbook.xml.rels" ContentType="application/vnd.openxmlformats-package.relationships+xml"/>
  <Override PartName="/xl/comments4.xml" ContentType="application/vnd.openxmlformats-officedocument.spreadsheetml.comment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0. Read Me" sheetId="1" state="visible" r:id="rId3"/>
    <sheet name="1. Plan" sheetId="2" state="visible" r:id="rId4"/>
    <sheet name="2. Rent Roll" sheetId="3" state="visible" r:id="rId5"/>
    <sheet name="3. Projection" sheetId="4" state="visible" r:id="rId6"/>
    <sheet name="4. Cases" sheetId="5" state="visible" r:id="rId7"/>
  </sheets>
  <calcPr iterateCount="100" refMode="A1" iterate="false" iterateDelta="0.0001"/>
  <extLst>
    <ext xmlns:loext="http://schemas.libreoffice.org/" uri="{7626C862-2A13-11E5-B345-FEFF819CDC9F}">
      <loext:extCalcPr stringRefSyntax="ExcelA1"/>
    </ext>
  </extLst>
</workbook>
</file>

<file path=xl/comments2.xml><?xml version="1.0" encoding="utf-8"?>
<comments xmlns="http://schemas.openxmlformats.org/spreadsheetml/2006/main" xmlns:xdr="http://schemas.openxmlformats.org/drawingml/2006/spreadsheetDrawing">
  <authors>
    <author>Unknown Author</author>
  </authors>
  <commentList>
    <comment ref="B10" authorId="0">
      <text>
        <r>
          <rPr>
            <sz val="10"/>
            <rFont val="Arial"/>
            <family val="2"/>
          </rPr>
          <t xml:space="preserve">One of: contracted income · reversion · letting of vacant space · repositioning · exit yield movement. If more than one applies, rank them here. A plan with an unranked list of drivers has not made a choice.</t>
        </r>
      </text>
    </comment>
    <comment ref="B55" authorId="0">
      <text>
        <r>
          <rPr>
            <sz val="10"/>
            <rFont val="Arial"/>
            <family val="2"/>
          </rPr>
          <t xml:space="preserve">Statutory, maintenance or improvement. Separate them. A committee that is shown three arguments bundled into one number approves none of them; a committee shown three separate cases approves the two that stand up.</t>
        </r>
      </text>
    </comment>
  </commentList>
</comments>
</file>

<file path=xl/comments4.xml><?xml version="1.0" encoding="utf-8"?>
<comments xmlns="http://schemas.openxmlformats.org/spreadsheetml/2006/main" xmlns:xdr="http://schemas.openxmlformats.org/drawingml/2006/spreadsheetDrawing">
  <authors>
    <author>Unknown Author</author>
  </authors>
  <commentList>
    <comment ref="B25" authorId="0">
      <text>
        <r>
          <rPr>
            <sz val="10"/>
            <rFont val="Arial"/>
            <family val="2"/>
          </rPr>
          <t xml:space="preserve">Statutory, maintenance or improvement — never bundled. A committee shown three arguments as one number approves none of them; shown three separate cases, it approves the two that stand up.</t>
        </r>
      </text>
    </comment>
    <comment ref="C11" authorId="0">
      <text>
        <r>
          <rPr>
            <sz val="10"/>
            <rFont val="Arial"/>
            <family val="2"/>
          </rPr>
          <t xml:space="preserve">Renewal is speculative too. It just has better odds. The expected void at an expiry is (1 − this probability) × the void length below.</t>
        </r>
      </text>
    </comment>
    <comment ref="C15" authorId="0">
      <text>
        <r>
          <rPr>
            <sz val="10"/>
            <rFont val="Arial"/>
            <family val="2"/>
          </rPr>
          <t xml:space="preserve">A point of unrecovered service charge is a point of lost rent, and it is usually easier to fix. Measure it, decompose it, and remember that only the vacancy component is temporary.</t>
        </r>
      </text>
    </comment>
    <comment ref="C17" authorId="0">
      <text>
        <r>
          <rPr>
            <sz val="10"/>
            <rFont val="Arial"/>
            <family val="2"/>
          </rPr>
          <t xml:space="preserve">Underwrite at an exit yield equal to or wider than entry. A tighter exit yield is upside, never base case. If the plan only works with a tighter yield, it is a bet on the market and should be described that way when it is presented.</t>
        </r>
      </text>
    </comment>
  </commentList>
</comments>
</file>

<file path=xl/sharedStrings.xml><?xml version="1.0" encoding="utf-8"?>
<sst xmlns="http://schemas.openxmlformats.org/spreadsheetml/2006/main" count="287" uniqueCount="227">
  <si>
    <t xml:space="preserve">Asset Business Plan</t>
  </si>
  <si>
    <t xml:space="preserve">Appendix A of The Real Estate Asset Manager, as a working document.</t>
  </si>
  <si>
    <t xml:space="preserve">Use this as a structure, not a form</t>
  </si>
  <si>
    <t xml:space="preserve">Every heading should produce a decision or a measurement. If a section produces neither, delete it. That instruction is from the book and it applies to this file too.</t>
  </si>
  <si>
    <t xml:space="preserve">The sheets</t>
  </si>
  <si>
    <t xml:space="preserve">1. Plan — sections 1 to 6 and 8 to 9 of the appendix: thesis, asset, occupational position, market position, strategy, capital programme, risks and exit. Text and tables you fill in.</t>
  </si>
  <si>
    <t xml:space="preserve">2. Rent Roll — the occupational position, computed. Enter the leases and it returns passing rent, ERV, occupancy by area and by rent, WAULT, WAULB, the expiry profile and the concentration table.</t>
  </si>
  <si>
    <t xml:space="preserve">3. Projection — section 7. Ten years of cash flow to exit, with contracted and speculative income shown separately, incentives as cash, a recovery rate on service charge, capital, debt service and net cash. Plus the valuation trajectory and the exit.</t>
  </si>
  <si>
    <t xml:space="preserve">4. Cases — section 10. Base, downside and the two break-evens: the exit yield at which the plan stops meeting the hurdle, and the void length at which it does.</t>
  </si>
  <si>
    <t xml:space="preserve">Two rules the file enforces</t>
  </si>
  <si>
    <t xml:space="preserve">Contracted income and speculative income are never added in the same column. Renewal is speculative too — it just has better odds.</t>
  </si>
  <si>
    <t xml:space="preserve">The purchase price appears nowhere. Every return in this file is computed on today's net realisable value, because holding is a decision to invest that amount for another period.</t>
  </si>
  <si>
    <t xml:space="preserve">Blue on a pale fill is an input. Black is a formula. Yellow marks an assumption that carries the answer. Nothing is locked or protected.</t>
  </si>
  <si>
    <t xml:space="preserve">The example is a small multi-let office, invented, internally consistent. Units are notional throughout, exactly as in the book. Overwrite everything.</t>
  </si>
  <si>
    <t xml:space="preserve">The plan</t>
  </si>
  <si>
    <t xml:space="preserve">Sections 1–6, 8 and 9. Sections 7 and 10 are on their own sheets.</t>
  </si>
  <si>
    <t xml:space="preserve">1. Thesis</t>
  </si>
  <si>
    <t xml:space="preserve">Thesis</t>
  </si>
  <si>
    <t xml:space="preserve">Three to five sentences. What this building is, why the fund owns it, and what the return depends on.</t>
  </si>
  <si>
    <t xml:space="preserve">Primary return driver</t>
  </si>
  <si>
    <t xml:space="preserve">Second driver, if any</t>
  </si>
  <si>
    <t xml:space="preserve">2. The asset</t>
  </si>
  <si>
    <t xml:space="preserve">Address and location</t>
  </si>
  <si>
    <t xml:space="preserve">Size and configuration</t>
  </si>
  <si>
    <t xml:space="preserve">Tenure</t>
  </si>
  <si>
    <t xml:space="preserve">Year built / last refurbishment</t>
  </si>
  <si>
    <t xml:space="preserve">Condition summary</t>
  </si>
  <si>
    <t xml:space="preserve">Date of last technical assessment</t>
  </si>
  <si>
    <t xml:space="preserve">Two or three physical characteristics that will determine competitiveness at exit</t>
  </si>
  <si>
    <t xml:space="preserve">3. Occupational position</t>
  </si>
  <si>
    <t xml:space="preserve">Computed on sheet 2 from the lease schedule. Nothing is typed here — if a figure below looks wrong, the rent roll is wrong.</t>
  </si>
  <si>
    <t xml:space="preserve">Measure</t>
  </si>
  <si>
    <t xml:space="preserve">Value</t>
  </si>
  <si>
    <t xml:space="preserve">Number of occupiers</t>
  </si>
  <si>
    <t xml:space="preserve">Occupancy by area</t>
  </si>
  <si>
    <t xml:space="preserve">Passing rent</t>
  </si>
  <si>
    <t xml:space="preserve">Occupancy by rent</t>
  </si>
  <si>
    <t xml:space="preserve">Estimated rental value</t>
  </si>
  <si>
    <t xml:space="preserve">WAULT (years)</t>
  </si>
  <si>
    <t xml:space="preserve">Reversion</t>
  </si>
  <si>
    <t xml:space="preserve">WAULB (years)</t>
  </si>
  <si>
    <t xml:space="preserve">Reversion as a share of passing</t>
  </si>
  <si>
    <t xml:space="preserve">Largest occupier, share of rent</t>
  </si>
  <si>
    <t xml:space="preserve">4. Market position</t>
  </si>
  <si>
    <t xml:space="preserve">Evidence</t>
  </si>
  <si>
    <t xml:space="preserve">Property</t>
  </si>
  <si>
    <t xml:space="preserve">Date</t>
  </si>
  <si>
    <t xml:space="preserve">Rent achieved</t>
  </si>
  <si>
    <t xml:space="preserve">Area</t>
  </si>
  <si>
    <t xml:space="preserve">Term</t>
  </si>
  <si>
    <t xml:space="preserve">Incentive</t>
  </si>
  <si>
    <t xml:space="preserve">Comparable 1</t>
  </si>
  <si>
    <t xml:space="preserve">Comparable 2</t>
  </si>
  <si>
    <t xml:space="preserve">Comparable 3</t>
  </si>
  <si>
    <t xml:space="preserve">Rent achieved in the building against that evidence</t>
  </si>
  <si>
    <t xml:space="preserve">Void rate in the submarket</t>
  </si>
  <si>
    <t xml:space="preserve">Competing supply under construction or refurbishment, with delivery dates</t>
  </si>
  <si>
    <t xml:space="preserve">Direction of occupier demand, and the basis for the view</t>
  </si>
  <si>
    <t xml:space="preserve">5. Strategy</t>
  </si>
  <si>
    <t xml:space="preserve">Two or three actions only. Each written as a single sentence containing an amount, a date and a consequence. A plan that cannot be wrong cannot be managed to.</t>
  </si>
  <si>
    <t xml:space="preserve">Action</t>
  </si>
  <si>
    <t xml:space="preserve">Owner</t>
  </si>
  <si>
    <t xml:space="preserve">Cost</t>
  </si>
  <si>
    <t xml:space="preserve">Effect on income</t>
  </si>
  <si>
    <t xml:space="preserve">Effect on value at exit yield</t>
  </si>
  <si>
    <t xml:space="preserve">Abandon trigger</t>
  </si>
  <si>
    <t xml:space="preserve">6. Capital programme</t>
  </si>
  <si>
    <t xml:space="preserve">Project</t>
  </si>
  <si>
    <t xml:space="preserve">Category</t>
  </si>
  <si>
    <t xml:space="preserve">Year</t>
  </si>
  <si>
    <t xml:space="preserve">Cost incl. fees and contingency</t>
  </si>
  <si>
    <t xml:space="preserve">Purpose</t>
  </si>
  <si>
    <t xml:space="preserve">Recoverable?</t>
  </si>
  <si>
    <t xml:space="preserve">Approval status</t>
  </si>
  <si>
    <t xml:space="preserve">8. Risks</t>
  </si>
  <si>
    <t xml:space="preserve">The five most likely causes of failure. A risk without a trigger is an observation.</t>
  </si>
  <si>
    <t xml:space="preserve">Risk</t>
  </si>
  <si>
    <t xml:space="preserve">Quantified effect</t>
  </si>
  <si>
    <t xml:space="preserve">Mitigation</t>
  </si>
  <si>
    <t xml:space="preserve">Trigger point</t>
  </si>
  <si>
    <t xml:space="preserve">9. Exit</t>
  </si>
  <si>
    <t xml:space="preserve">Planned exit date</t>
  </si>
  <si>
    <t xml:space="preserve">Buyer type</t>
  </si>
  <si>
    <t xml:space="preserve">Minimum WAULT that must be true by then</t>
  </si>
  <si>
    <t xml:space="preserve">Minimum occupancy that must be true by then</t>
  </si>
  <si>
    <t xml:space="preserve">Capital that must be complete</t>
  </si>
  <si>
    <t xml:space="preserve">Disputes that must be settled</t>
  </si>
  <si>
    <t xml:space="preserve">Lease events to resolve, and by when</t>
  </si>
  <si>
    <t xml:space="preserve">The rent roll as a document of record</t>
  </si>
  <si>
    <t xml:space="preserve">Verified against the leases, not against last quarter's file. Everything on sheet 1 comes from here.</t>
  </si>
  <si>
    <t xml:space="preserve">Valuation / reporting date (year)</t>
  </si>
  <si>
    <t xml:space="preserve">Year 0 = today. Expiries and breaks are entered as years from today.</t>
  </si>
  <si>
    <t xml:space="preserve">Estimated rental value — let and vacant</t>
  </si>
  <si>
    <t xml:space="preserve">WAULT — to expiry, weighted by rent</t>
  </si>
  <si>
    <t xml:space="preserve">WAULB — to break, weighted by rent</t>
  </si>
  <si>
    <t xml:space="preserve">Largest three, share of rent</t>
  </si>
  <si>
    <t xml:space="preserve">Largest five, share of rent</t>
  </si>
  <si>
    <t xml:space="preserve">The leases</t>
  </si>
  <si>
    <t xml:space="preserve">Occupier</t>
  </si>
  <si>
    <t xml:space="preserve">Status</t>
  </si>
  <si>
    <t xml:space="preserve">ERV</t>
  </si>
  <si>
    <t xml:space="preserve">Years to expiry</t>
  </si>
  <si>
    <t xml:space="preserve">Years to break</t>
  </si>
  <si>
    <t xml:space="preserve">Covenant</t>
  </si>
  <si>
    <t xml:space="preserve">Share of rent</t>
  </si>
  <si>
    <t xml:space="preserve">Notes</t>
  </si>
  <si>
    <t xml:space="preserve">Ground — Halvers Ltd</t>
  </si>
  <si>
    <t xml:space="preserve">Let</t>
  </si>
  <si>
    <t xml:space="preserve">Strong</t>
  </si>
  <si>
    <t xml:space="preserve">First — Nyland Group</t>
  </si>
  <si>
    <t xml:space="preserve">Adequate</t>
  </si>
  <si>
    <t xml:space="preserve">Second</t>
  </si>
  <si>
    <t xml:space="preserve">Vacant</t>
  </si>
  <si>
    <t xml:space="preserve">Third — Camber &amp; Co</t>
  </si>
  <si>
    <t xml:space="preserve">Unit A — Sedge</t>
  </si>
  <si>
    <t xml:space="preserve">Unit B — Sedge</t>
  </si>
  <si>
    <t xml:space="preserve">Weak</t>
  </si>
  <si>
    <t xml:space="preserve">Total</t>
  </si>
  <si>
    <t xml:space="preserve">Expiry and break profile, by year</t>
  </si>
  <si>
    <t xml:space="preserve">Rent expiring</t>
  </si>
  <si>
    <t xml:space="preserve">Rent at risk from a break</t>
  </si>
  <si>
    <t xml:space="preserve">Cumulative rent expiring</t>
  </si>
  <si>
    <t xml:space="preserve">Share of passing</t>
  </si>
  <si>
    <t xml:space="preserve">Concentration</t>
  </si>
  <si>
    <t xml:space="preserve">Test</t>
  </si>
  <si>
    <t xml:space="preserve">Threshold</t>
  </si>
  <si>
    <t xml:space="preserve">Flag</t>
  </si>
  <si>
    <t xml:space="preserve">Largest occupier</t>
  </si>
  <si>
    <t xml:space="preserve">Largest three</t>
  </si>
  <si>
    <t xml:space="preserve">Largest five</t>
  </si>
  <si>
    <t xml:space="preserve">Any occupier above 10 per cent of income needs a covenant summary with the date of the last assessment. The threshold cells are yours to set — they are the fund's policy, not a rule of nature.</t>
  </si>
  <si>
    <t xml:space="preserve">Section 7 — Financial projection to exit</t>
  </si>
  <si>
    <t xml:space="preserve">Contracted income and speculative income never share a column.</t>
  </si>
  <si>
    <t xml:space="preserve">Assumptions</t>
  </si>
  <si>
    <t xml:space="preserve">Net realisable value today, after all costs of sale</t>
  </si>
  <si>
    <t xml:space="preserve">Hold period to exit (years)</t>
  </si>
  <si>
    <t xml:space="preserve">Rental growth on ERV, per year</t>
  </si>
  <si>
    <t xml:space="preserve">Void on the vacant space (months from today)</t>
  </si>
  <si>
    <t xml:space="preserve">Rent-free on the vacant space (months)</t>
  </si>
  <si>
    <t xml:space="preserve">Letting fee, share of first year rent</t>
  </si>
  <si>
    <t xml:space="preserve">Renewal probability at expiry</t>
  </si>
  <si>
    <t xml:space="preserve">Void on non-renewal (months)</t>
  </si>
  <si>
    <t xml:space="preserve">Rent-free granted at expiry (months)</t>
  </si>
  <si>
    <t xml:space="preserve">Service charge cost, per year</t>
  </si>
  <si>
    <t xml:space="preserve">Recovery rate on service charge</t>
  </si>
  <si>
    <t xml:space="preserve">Non-recoverable costs, per year</t>
  </si>
  <si>
    <t xml:space="preserve">Exit yield</t>
  </si>
  <si>
    <t xml:space="preserve">Cost of sale at exit</t>
  </si>
  <si>
    <t xml:space="preserve">Debt drawn</t>
  </si>
  <si>
    <t xml:space="preserve">Debt interest rate</t>
  </si>
  <si>
    <t xml:space="preserve">Fund hurdle — forward return</t>
  </si>
  <si>
    <t xml:space="preserve">Capital programme — the cash that leaves</t>
  </si>
  <si>
    <t xml:space="preserve">Plant replacement</t>
  </si>
  <si>
    <t xml:space="preserve">Maintenance</t>
  </si>
  <si>
    <t xml:space="preserve">No</t>
  </si>
  <si>
    <t xml:space="preserve">Reception refurbishment</t>
  </si>
  <si>
    <t xml:space="preserve">Improvement</t>
  </si>
  <si>
    <t xml:space="preserve">Common-part finishes</t>
  </si>
  <si>
    <t xml:space="preserve">Cash flow</t>
  </si>
  <si>
    <t xml:space="preserve">1</t>
  </si>
  <si>
    <t xml:space="preserve">2</t>
  </si>
  <si>
    <t xml:space="preserve">3</t>
  </si>
  <si>
    <t xml:space="preserve">4</t>
  </si>
  <si>
    <t xml:space="preserve">5</t>
  </si>
  <si>
    <t xml:space="preserve">6</t>
  </si>
  <si>
    <t xml:space="preserve">7</t>
  </si>
  <si>
    <t xml:space="preserve">8</t>
  </si>
  <si>
    <t xml:space="preserve">9</t>
  </si>
  <si>
    <t xml:space="preserve">10</t>
  </si>
  <si>
    <t xml:space="preserve">Contracted rent — leases in place</t>
  </si>
  <si>
    <t xml:space="preserve">Speculative rent — renewals and re-lettings</t>
  </si>
  <si>
    <t xml:space="preserve">Speculative rent — the vacant space</t>
  </si>
  <si>
    <t xml:space="preserve">Rent before letting costs</t>
  </si>
  <si>
    <t xml:space="preserve">Void loss</t>
  </si>
  <si>
    <t xml:space="preserve">Incentives, as cash in the year granted</t>
  </si>
  <si>
    <t xml:space="preserve">Letting fees</t>
  </si>
  <si>
    <t xml:space="preserve">Gross rental income</t>
  </si>
  <si>
    <t xml:space="preserve">Service charge recovered</t>
  </si>
  <si>
    <t xml:space="preserve">Service charge cost</t>
  </si>
  <si>
    <t xml:space="preserve">Non-recoverable costs</t>
  </si>
  <si>
    <t xml:space="preserve">Net operating income</t>
  </si>
  <si>
    <t xml:space="preserve">Stabilised net operating income — the valuation basis</t>
  </si>
  <si>
    <t xml:space="preserve">Capital</t>
  </si>
  <si>
    <t xml:space="preserve">Debt service</t>
  </si>
  <si>
    <t xml:space="preserve">Net cash flow</t>
  </si>
  <si>
    <t xml:space="preserve">Void loss, incentives and letting fees are one-off costs of transacting. They belong in the cash flow and not in the valuation basis, which is why the stabilised line exists.</t>
  </si>
  <si>
    <t xml:space="preserve">Valuation trajectory and exit</t>
  </si>
  <si>
    <t xml:space="preserve">Capital value on the stabilised NOI at the exit yield</t>
  </si>
  <si>
    <t xml:space="preserve">Net of sale costs</t>
  </si>
  <si>
    <t xml:space="preserve">Within the hold period?</t>
  </si>
  <si>
    <t xml:space="preserve">Forward return on today's net realisable value</t>
  </si>
  <si>
    <t xml:space="preserve">0</t>
  </si>
  <si>
    <t xml:space="preserve">Cash to the fund</t>
  </si>
  <si>
    <t xml:space="preserve">Forward return — IRR on today's net realisable value</t>
  </si>
  <si>
    <t xml:space="preserve">Fund hurdle</t>
  </si>
  <si>
    <t xml:space="preserve">Margin over the hurdle</t>
  </si>
  <si>
    <t xml:space="preserve">Verdict</t>
  </si>
  <si>
    <t xml:space="preserve">The purchase price appears nowhere in this sheet. Sunk is sunk: every hold decision is a decision to invest today's realisable value for another period, and the only honest test is the forward return on that value against the alternative use of the same capital.</t>
  </si>
  <si>
    <t xml:space="preserve">Section 10 — Base case, downside and break-even</t>
  </si>
  <si>
    <t xml:space="preserve">A downside is one coherent scenario, not a grid. Void, incentive and exit yield move together.</t>
  </si>
  <si>
    <t xml:space="preserve">Sensitise one variable at a time first, to see which one the outcome is actually sensitive to. Frequently it is not the one people expect: many plans are far more sensitive to the void period than to the rent achieved. Then build two coherent scenarios, because in real markets these variables correlate and a grid of independent variations understates risk.</t>
  </si>
  <si>
    <t xml:space="preserve">One variable at a time — exit yield</t>
  </si>
  <si>
    <t xml:space="preserve">Forward return</t>
  </si>
  <si>
    <t xml:space="preserve">Margin over hurdle</t>
  </si>
  <si>
    <t xml:space="preserve">How to fill the blue column: set the exit yield on sheet 3 to the value on the left, read the forward return, and type it here. The row at today's yield fills itself. Seven numbers, five minutes, and it is the most useful page you will put in front of a committee.</t>
  </si>
  <si>
    <t xml:space="preserve">The two coherent scenarios</t>
  </si>
  <si>
    <t xml:space="preserve">Assumption</t>
  </si>
  <si>
    <t xml:space="preserve">Base</t>
  </si>
  <si>
    <t xml:space="preserve">Downside</t>
  </si>
  <si>
    <t xml:space="preserve">Upside</t>
  </si>
  <si>
    <t xml:space="preserve">Void on the vacant space (months)</t>
  </si>
  <si>
    <t xml:space="preserve">Rental growth per year</t>
  </si>
  <si>
    <t xml:space="preserve">Renewal probability</t>
  </si>
  <si>
    <t xml:space="preserve">Recovery rate</t>
  </si>
  <si>
    <t xml:space="preserve">Enter each after running sheet 3 on that column's assumptions</t>
  </si>
  <si>
    <t xml:space="preserve">A downside in which the void is longer, the incentive is heavier and the exit yield is wider — because those three tend to happen together.</t>
  </si>
  <si>
    <t xml:space="preserve">Break-evens</t>
  </si>
  <si>
    <t xml:space="preserve">Break-evens are more useful to a committee than probability-weighted outcomes, because they can be compared against the committee's own market view.</t>
  </si>
  <si>
    <t xml:space="preserve">Break-even</t>
  </si>
  <si>
    <t xml:space="preserve">How to find it</t>
  </si>
  <si>
    <t xml:space="preserve">Exit yield at which the forward return falls to the hurdle</t>
  </si>
  <si>
    <t xml:space="preserve">Widen the exit yield on sheet 3 until the margin reaches zero</t>
  </si>
  <si>
    <t xml:space="preserve">Void length at which the forward return falls to the hurdle (months)</t>
  </si>
  <si>
    <t xml:space="preserve">Lengthen the void on sheet 3 until the margin reaches zero</t>
  </si>
  <si>
    <t xml:space="preserve">Distance from today's exit yield to the break-even</t>
  </si>
  <si>
    <t xml:space="preserve">Under 50 bp of room means the plan is a bet on the exit yield. Say so.</t>
  </si>
  <si>
    <t xml:space="preserve">Two questions the committee will ask, and the two answers this page exists to give: at what exit yield does the hold case stop working, and what is your view on the likelihood of reaching it?</t>
  </si>
</sst>
</file>

<file path=xl/styles.xml><?xml version="1.0" encoding="utf-8"?>
<styleSheet xmlns="http://schemas.openxmlformats.org/spreadsheetml/2006/main">
  <numFmts count="10">
    <numFmt numFmtId="164" formatCode="General"/>
    <numFmt numFmtId="165" formatCode="0"/>
    <numFmt numFmtId="166" formatCode="0.0%"/>
    <numFmt numFmtId="167" formatCode="#,##0.0;\(#,##0.0\);\-"/>
    <numFmt numFmtId="168" formatCode="0.00"/>
    <numFmt numFmtId="169" formatCode="#,##0.00;\(#,##0.00\);\-"/>
    <numFmt numFmtId="170" formatCode="#,##0"/>
    <numFmt numFmtId="171" formatCode="0.0"/>
    <numFmt numFmtId="172" formatCode="0.00%"/>
    <numFmt numFmtId="173" formatCode="#,##0&quot; bp&quot;"/>
  </numFmts>
  <fonts count="14">
    <font>
      <sz val="11"/>
      <color theme="1"/>
      <name val="Calibri"/>
      <family val="2"/>
      <charset val="1"/>
    </font>
    <font>
      <sz val="10"/>
      <name val="Arial"/>
      <family val="0"/>
    </font>
    <font>
      <sz val="10"/>
      <name val="Arial"/>
      <family val="0"/>
    </font>
    <font>
      <sz val="10"/>
      <name val="Arial"/>
      <family val="0"/>
    </font>
    <font>
      <b val="true"/>
      <sz val="14"/>
      <color rgb="FF1B2A20"/>
      <name val="Arial"/>
      <family val="0"/>
      <charset val="1"/>
    </font>
    <font>
      <i val="true"/>
      <sz val="9"/>
      <color rgb="FF555555"/>
      <name val="Arial"/>
      <family val="0"/>
      <charset val="1"/>
    </font>
    <font>
      <b val="true"/>
      <sz val="11"/>
      <color rgb="FF1B2A20"/>
      <name val="Arial"/>
      <family val="0"/>
      <charset val="1"/>
    </font>
    <font>
      <sz val="10"/>
      <name val="Arial"/>
      <family val="0"/>
      <charset val="1"/>
    </font>
    <font>
      <b val="true"/>
      <sz val="10"/>
      <name val="Arial"/>
      <family val="0"/>
      <charset val="1"/>
    </font>
    <font>
      <sz val="10"/>
      <color rgb="FF0000FF"/>
      <name val="Arial"/>
      <family val="0"/>
      <charset val="1"/>
    </font>
    <font>
      <sz val="9"/>
      <color rgb="FF555555"/>
      <name val="Arial"/>
      <family val="0"/>
      <charset val="1"/>
    </font>
    <font>
      <b val="true"/>
      <sz val="10"/>
      <color rgb="FFFFFFFF"/>
      <name val="Arial"/>
      <family val="0"/>
      <charset val="1"/>
    </font>
    <font>
      <sz val="10"/>
      <color rgb="FF008000"/>
      <name val="Arial"/>
      <family val="0"/>
      <charset val="1"/>
    </font>
    <font>
      <sz val="10"/>
      <name val="Arial"/>
      <family val="2"/>
    </font>
  </fonts>
  <fills count="5">
    <fill>
      <patternFill patternType="none"/>
    </fill>
    <fill>
      <patternFill patternType="gray125"/>
    </fill>
    <fill>
      <patternFill patternType="solid">
        <fgColor rgb="FFEAF1FB"/>
        <bgColor rgb="FFFFFFFF"/>
      </patternFill>
    </fill>
    <fill>
      <patternFill patternType="solid">
        <fgColor rgb="FF1B2A20"/>
        <bgColor rgb="FF333333"/>
      </patternFill>
    </fill>
    <fill>
      <patternFill patternType="solid">
        <fgColor rgb="FFFFFF00"/>
        <bgColor rgb="FFFFFF00"/>
      </patternFill>
    </fill>
  </fills>
  <borders count="3">
    <border diagonalUp="false" diagonalDown="false">
      <left/>
      <right/>
      <top/>
      <bottom/>
      <diagonal/>
    </border>
    <border diagonalUp="false" diagonalDown="false">
      <left style="thin">
        <color rgb="FFBBBBBB"/>
      </left>
      <right style="thin">
        <color rgb="FFBBBBBB"/>
      </right>
      <top style="thin">
        <color rgb="FFBBBBBB"/>
      </top>
      <bottom style="thin">
        <color rgb="FFBBBBBB"/>
      </bottom>
      <diagonal/>
    </border>
    <border diagonalUp="false" diagonalDown="false">
      <left/>
      <right/>
      <top style="thin">
        <color rgb="FF333333"/>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54">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9" fillId="2" borderId="1" xfId="0" applyFont="true" applyBorder="true" applyAlignment="true" applyProtection="false">
      <alignment horizontal="general" vertical="top" textRotation="0" wrapText="true" indent="0" shrinkToFit="false"/>
      <protection locked="true" hidden="false"/>
    </xf>
    <xf numFmtId="164" fontId="10" fillId="0" borderId="0" xfId="0" applyFont="true" applyBorder="true" applyAlignment="true" applyProtection="false">
      <alignment horizontal="general" vertical="top" textRotation="0" wrapText="true" indent="0" shrinkToFit="false"/>
      <protection locked="true" hidden="false"/>
    </xf>
    <xf numFmtId="164" fontId="9" fillId="2" borderId="1" xfId="0" applyFont="true" applyBorder="true" applyAlignment="fals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11" fillId="3" borderId="1" xfId="0" applyFont="true" applyBorder="true" applyAlignment="true" applyProtection="false">
      <alignment horizontal="center" vertical="bottom" textRotation="0" wrapText="true" indent="0" shrinkToFit="false"/>
      <protection locked="true" hidden="false"/>
    </xf>
    <xf numFmtId="164" fontId="7" fillId="0" borderId="1" xfId="0" applyFont="true" applyBorder="true" applyAlignment="false" applyProtection="false">
      <alignment horizontal="general" vertical="bottom" textRotation="0" wrapText="false" indent="0" shrinkToFit="false"/>
      <protection locked="true" hidden="false"/>
    </xf>
    <xf numFmtId="165" fontId="12" fillId="0" borderId="1" xfId="0" applyFont="true" applyBorder="true" applyAlignment="false" applyProtection="false">
      <alignment horizontal="general" vertical="bottom" textRotation="0" wrapText="false" indent="0" shrinkToFit="false"/>
      <protection locked="true" hidden="false"/>
    </xf>
    <xf numFmtId="166" fontId="12" fillId="0" borderId="1" xfId="0" applyFont="true" applyBorder="true" applyAlignment="false" applyProtection="false">
      <alignment horizontal="general" vertical="bottom" textRotation="0" wrapText="false" indent="0" shrinkToFit="false"/>
      <protection locked="true" hidden="false"/>
    </xf>
    <xf numFmtId="167" fontId="12" fillId="0" borderId="1" xfId="0" applyFont="true" applyBorder="true" applyAlignment="false" applyProtection="false">
      <alignment horizontal="general" vertical="bottom" textRotation="0" wrapText="false" indent="0" shrinkToFit="false"/>
      <protection locked="true" hidden="false"/>
    </xf>
    <xf numFmtId="168" fontId="12" fillId="0" borderId="1" xfId="0" applyFont="true" applyBorder="true" applyAlignment="false" applyProtection="false">
      <alignment horizontal="general" vertical="bottom" textRotation="0" wrapText="false" indent="0" shrinkToFit="false"/>
      <protection locked="true" hidden="false"/>
    </xf>
    <xf numFmtId="167" fontId="9" fillId="2" borderId="1" xfId="0" applyFont="true" applyBorder="true" applyAlignment="false" applyProtection="false">
      <alignment horizontal="general" vertical="bottom" textRotation="0" wrapText="false" indent="0" shrinkToFit="false"/>
      <protection locked="true" hidden="false"/>
    </xf>
    <xf numFmtId="165" fontId="9" fillId="2" borderId="1" xfId="0" applyFont="true" applyBorder="true" applyAlignment="false" applyProtection="false">
      <alignment horizontal="general" vertical="bottom" textRotation="0" wrapText="false" indent="0" shrinkToFit="false"/>
      <protection locked="true" hidden="false"/>
    </xf>
    <xf numFmtId="165" fontId="9" fillId="4" borderId="0" xfId="0" applyFont="true" applyBorder="false" applyAlignment="false" applyProtection="false">
      <alignment horizontal="general" vertical="bottom" textRotation="0" wrapText="fals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true" applyAlignment="false" applyProtection="false">
      <alignment horizontal="general" vertical="bottom" textRotation="0" wrapText="false" indent="0" shrinkToFit="false"/>
      <protection locked="true" hidden="false"/>
    </xf>
    <xf numFmtId="165" fontId="8" fillId="0" borderId="0" xfId="0" applyFont="true" applyBorder="false" applyAlignment="false" applyProtection="false">
      <alignment horizontal="general" vertical="bottom" textRotation="0" wrapText="false" indent="0" shrinkToFit="false"/>
      <protection locked="true" hidden="false"/>
    </xf>
    <xf numFmtId="169" fontId="8" fillId="0" borderId="0" xfId="0" applyFont="true" applyBorder="false" applyAlignment="false" applyProtection="false">
      <alignment horizontal="general" vertical="bottom" textRotation="0" wrapText="false" indent="0" shrinkToFit="false"/>
      <protection locked="true" hidden="false"/>
    </xf>
    <xf numFmtId="166" fontId="8" fillId="0" borderId="0" xfId="0" applyFont="true" applyBorder="false" applyAlignment="false" applyProtection="false">
      <alignment horizontal="general" vertical="bottom" textRotation="0" wrapText="false" indent="0" shrinkToFit="false"/>
      <protection locked="true" hidden="false"/>
    </xf>
    <xf numFmtId="168" fontId="8" fillId="0" borderId="0" xfId="0" applyFont="true" applyBorder="false" applyAlignment="false" applyProtection="false">
      <alignment horizontal="general" vertical="bottom" textRotation="0" wrapText="false" indent="0" shrinkToFit="false"/>
      <protection locked="true" hidden="false"/>
    </xf>
    <xf numFmtId="170" fontId="9" fillId="2" borderId="1" xfId="0" applyFont="true" applyBorder="true" applyAlignment="false" applyProtection="false">
      <alignment horizontal="general" vertical="bottom" textRotation="0" wrapText="false" indent="0" shrinkToFit="false"/>
      <protection locked="true" hidden="false"/>
    </xf>
    <xf numFmtId="169" fontId="9" fillId="2" borderId="1" xfId="0" applyFont="true" applyBorder="true" applyAlignment="false" applyProtection="false">
      <alignment horizontal="general" vertical="bottom" textRotation="0" wrapText="false" indent="0" shrinkToFit="false"/>
      <protection locked="true" hidden="false"/>
    </xf>
    <xf numFmtId="171" fontId="9" fillId="2" borderId="1" xfId="0" applyFont="true" applyBorder="true" applyAlignment="false" applyProtection="false">
      <alignment horizontal="general" vertical="bottom" textRotation="0" wrapText="false" indent="0" shrinkToFit="false"/>
      <protection locked="true" hidden="false"/>
    </xf>
    <xf numFmtId="166" fontId="7" fillId="0" borderId="1" xfId="0" applyFont="true" applyBorder="true" applyAlignment="false" applyProtection="false">
      <alignment horizontal="general" vertical="bottom" textRotation="0" wrapText="false" indent="0" shrinkToFit="false"/>
      <protection locked="true" hidden="false"/>
    </xf>
    <xf numFmtId="170" fontId="8" fillId="0" borderId="2" xfId="0" applyFont="true" applyBorder="true" applyAlignment="false" applyProtection="false">
      <alignment horizontal="general" vertical="bottom" textRotation="0" wrapText="false" indent="0" shrinkToFit="false"/>
      <protection locked="true" hidden="false"/>
    </xf>
    <xf numFmtId="169" fontId="8" fillId="0" borderId="2" xfId="0" applyFont="true" applyBorder="true" applyAlignment="false" applyProtection="false">
      <alignment horizontal="general" vertical="bottom" textRotation="0" wrapText="false" indent="0" shrinkToFit="false"/>
      <protection locked="true" hidden="false"/>
    </xf>
    <xf numFmtId="165" fontId="7" fillId="0" borderId="1" xfId="0" applyFont="true" applyBorder="true" applyAlignment="false" applyProtection="false">
      <alignment horizontal="general" vertical="bottom" textRotation="0" wrapText="false" indent="0" shrinkToFit="false"/>
      <protection locked="true" hidden="false"/>
    </xf>
    <xf numFmtId="169" fontId="7" fillId="0" borderId="1" xfId="0" applyFont="true" applyBorder="true" applyAlignment="false" applyProtection="false">
      <alignment horizontal="general" vertical="bottom" textRotation="0" wrapText="false" indent="0" shrinkToFit="false"/>
      <protection locked="true" hidden="false"/>
    </xf>
    <xf numFmtId="166" fontId="9" fillId="0" borderId="1" xfId="0" applyFont="true" applyBorder="true" applyAlignment="false" applyProtection="false">
      <alignment horizontal="general" vertical="bottom" textRotation="0" wrapText="false" indent="0" shrinkToFit="false"/>
      <protection locked="true" hidden="false"/>
    </xf>
    <xf numFmtId="164" fontId="8" fillId="0" borderId="1" xfId="0" applyFont="true" applyBorder="true" applyAlignment="false" applyProtection="false">
      <alignment horizontal="general" vertical="bottom" textRotation="0" wrapText="false" indent="0" shrinkToFit="false"/>
      <protection locked="true" hidden="false"/>
    </xf>
    <xf numFmtId="167" fontId="9" fillId="4" borderId="1" xfId="0" applyFont="true" applyBorder="true" applyAlignment="false" applyProtection="false">
      <alignment horizontal="general" vertical="bottom" textRotation="0" wrapText="false" indent="0" shrinkToFit="false"/>
      <protection locked="true" hidden="false"/>
    </xf>
    <xf numFmtId="165" fontId="9" fillId="4" borderId="1" xfId="0" applyFont="true" applyBorder="true" applyAlignment="false" applyProtection="false">
      <alignment horizontal="general" vertical="bottom" textRotation="0" wrapText="false" indent="0" shrinkToFit="false"/>
      <protection locked="true" hidden="false"/>
    </xf>
    <xf numFmtId="166" fontId="9" fillId="4" borderId="1" xfId="0" applyFont="true" applyBorder="true" applyAlignment="false" applyProtection="false">
      <alignment horizontal="general" vertical="bottom" textRotation="0" wrapText="false" indent="0" shrinkToFit="false"/>
      <protection locked="true" hidden="false"/>
    </xf>
    <xf numFmtId="171" fontId="9" fillId="4" borderId="1" xfId="0" applyFont="true" applyBorder="true" applyAlignment="false" applyProtection="false">
      <alignment horizontal="general" vertical="bottom" textRotation="0" wrapText="false" indent="0" shrinkToFit="false"/>
      <protection locked="true" hidden="false"/>
    </xf>
    <xf numFmtId="166" fontId="9" fillId="2" borderId="1" xfId="0" applyFont="true" applyBorder="true" applyAlignment="false" applyProtection="false">
      <alignment horizontal="general" vertical="bottom" textRotation="0" wrapText="false" indent="0" shrinkToFit="false"/>
      <protection locked="true" hidden="false"/>
    </xf>
    <xf numFmtId="172" fontId="9" fillId="4" borderId="1" xfId="0" applyFont="true" applyBorder="true" applyAlignment="false" applyProtection="false">
      <alignment horizontal="general" vertical="bottom" textRotation="0" wrapText="false" indent="0" shrinkToFit="false"/>
      <protection locked="true" hidden="false"/>
    </xf>
    <xf numFmtId="169" fontId="8" fillId="0" borderId="1" xfId="0" applyFont="true" applyBorder="true" applyAlignment="false" applyProtection="false">
      <alignment horizontal="general" vertical="bottom" textRotation="0" wrapText="false" indent="0" shrinkToFit="false"/>
      <protection locked="true" hidden="false"/>
    </xf>
    <xf numFmtId="172" fontId="8" fillId="4" borderId="0" xfId="0" applyFont="true" applyBorder="false" applyAlignment="false" applyProtection="false">
      <alignment horizontal="general" vertical="bottom" textRotation="0" wrapText="false" indent="0" shrinkToFit="false"/>
      <protection locked="true" hidden="false"/>
    </xf>
    <xf numFmtId="172" fontId="7" fillId="0" borderId="0" xfId="0" applyFont="true" applyBorder="false" applyAlignment="false" applyProtection="false">
      <alignment horizontal="general" vertical="bottom" textRotation="0" wrapText="false" indent="0" shrinkToFit="false"/>
      <protection locked="true" hidden="false"/>
    </xf>
    <xf numFmtId="173" fontId="8" fillId="0" borderId="0" xfId="0" applyFont="true" applyBorder="false" applyAlignment="false" applyProtection="false">
      <alignment horizontal="general" vertical="bottom" textRotation="0" wrapText="false" indent="0" shrinkToFit="false"/>
      <protection locked="true" hidden="false"/>
    </xf>
    <xf numFmtId="172" fontId="7" fillId="0" borderId="1" xfId="0" applyFont="true" applyBorder="true" applyAlignment="false" applyProtection="false">
      <alignment horizontal="general" vertical="bottom" textRotation="0" wrapText="false" indent="0" shrinkToFit="false"/>
      <protection locked="true" hidden="false"/>
    </xf>
    <xf numFmtId="172" fontId="9" fillId="2" borderId="1" xfId="0" applyFont="true" applyBorder="true" applyAlignment="false" applyProtection="false">
      <alignment horizontal="general" vertical="bottom" textRotation="0" wrapText="false" indent="0" shrinkToFit="false"/>
      <protection locked="true" hidden="false"/>
    </xf>
    <xf numFmtId="173" fontId="7" fillId="0" borderId="1" xfId="0" applyFont="true" applyBorder="true" applyAlignment="false" applyProtection="false">
      <alignment horizontal="general" vertical="bottom" textRotation="0" wrapText="false" indent="0" shrinkToFit="false"/>
      <protection locked="true" hidden="false"/>
    </xf>
    <xf numFmtId="172" fontId="12" fillId="0" borderId="1" xfId="0" applyFont="true" applyBorder="true" applyAlignment="false" applyProtection="false">
      <alignment horizontal="general" vertical="bottom" textRotation="0" wrapText="false" indent="0" shrinkToFit="false"/>
      <protection locked="true" hidden="false"/>
    </xf>
    <xf numFmtId="171" fontId="12" fillId="0" borderId="1" xfId="0" applyFont="true" applyBorder="true" applyAlignment="false" applyProtection="false">
      <alignment horizontal="general" vertical="bottom" textRotation="0" wrapText="false" indent="0" shrinkToFit="false"/>
      <protection locked="true" hidden="false"/>
    </xf>
    <xf numFmtId="171" fontId="7" fillId="0" borderId="1" xfId="0" applyFont="true" applyBorder="true" applyAlignment="false" applyProtection="false">
      <alignment horizontal="general" vertical="bottom" textRotation="0" wrapText="false" indent="0" shrinkToFit="false"/>
      <protection locked="true" hidden="false"/>
    </xf>
    <xf numFmtId="173" fontId="8" fillId="0" borderId="1" xfId="0" applyFont="true" applyBorder="true" applyAlignment="false" applyProtection="false">
      <alignment horizontal="general" vertical="bottom" textRotation="0" wrapText="false" indent="0" shrinkToFit="false"/>
      <protection locked="true" hidden="false"/>
    </xf>
    <xf numFmtId="164" fontId="10" fillId="0" borderId="1" xfId="0" applyFont="true" applyBorder="tru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BBBBB"/>
      <rgbColor rgb="FF808080"/>
      <rgbColor rgb="FF9999FF"/>
      <rgbColor rgb="FF993366"/>
      <rgbColor rgb="FFFFFFCC"/>
      <rgbColor rgb="FFEAF1FB"/>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55555"/>
      <rgbColor rgb="FF969696"/>
      <rgbColor rgb="FF003366"/>
      <rgbColor rgb="FF339966"/>
      <rgbColor rgb="FF003300"/>
      <rgbColor rgb="FF1B2A2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2.xml.rels><?xml version="1.0" encoding="UTF-8"?>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1.vml"/>
</Relationships>
</file>

<file path=xl/worksheets/_rels/sheet4.xml.rels><?xml version="1.0" encoding="UTF-8"?>
<Relationships xmlns="http://schemas.openxmlformats.org/package/2006/relationships"><Relationship Id="rId1" Type="http://schemas.openxmlformats.org/officeDocument/2006/relationships/comments" Target="../comments4.xml"/><Relationship Id="rId2" Type="http://schemas.openxmlformats.org/officeDocument/2006/relationships/vmlDrawing" Target="../drawings/vmlDrawing2.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0"/>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112"/>
  </cols>
  <sheetData>
    <row r="1" customFormat="false" ht="17.35" hidden="false" customHeight="false" outlineLevel="0" collapsed="false">
      <c r="A1" s="1" t="s">
        <v>0</v>
      </c>
    </row>
    <row r="2" customFormat="false" ht="15" hidden="false" customHeight="false" outlineLevel="0" collapsed="false">
      <c r="A2" s="2" t="s">
        <v>1</v>
      </c>
    </row>
    <row r="5" customFormat="false" ht="15" hidden="false" customHeight="false" outlineLevel="0" collapsed="false">
      <c r="A5" s="3" t="s">
        <v>2</v>
      </c>
    </row>
    <row r="6" customFormat="false" ht="23.85" hidden="false" customHeight="false" outlineLevel="0" collapsed="false">
      <c r="A6" s="4" t="s">
        <v>3</v>
      </c>
    </row>
    <row r="8" customFormat="false" ht="15" hidden="false" customHeight="false" outlineLevel="0" collapsed="false">
      <c r="A8" s="3" t="s">
        <v>4</v>
      </c>
    </row>
    <row r="9" customFormat="false" ht="23.85" hidden="false" customHeight="false" outlineLevel="0" collapsed="false">
      <c r="A9" s="4" t="s">
        <v>5</v>
      </c>
    </row>
    <row r="10" customFormat="false" ht="23.85" hidden="false" customHeight="false" outlineLevel="0" collapsed="false">
      <c r="A10" s="4" t="s">
        <v>6</v>
      </c>
    </row>
    <row r="11" customFormat="false" ht="23.85" hidden="false" customHeight="false" outlineLevel="0" collapsed="false">
      <c r="A11" s="4" t="s">
        <v>7</v>
      </c>
    </row>
    <row r="12" customFormat="false" ht="23.85" hidden="false" customHeight="false" outlineLevel="0" collapsed="false">
      <c r="A12" s="4" t="s">
        <v>8</v>
      </c>
    </row>
    <row r="14" customFormat="false" ht="15" hidden="false" customHeight="false" outlineLevel="0" collapsed="false">
      <c r="A14" s="3" t="s">
        <v>9</v>
      </c>
    </row>
    <row r="15" customFormat="false" ht="15" hidden="false" customHeight="false" outlineLevel="0" collapsed="false">
      <c r="A15" s="4" t="s">
        <v>10</v>
      </c>
    </row>
    <row r="16" customFormat="false" ht="23.85" hidden="false" customHeight="false" outlineLevel="0" collapsed="false">
      <c r="A16" s="4" t="s">
        <v>11</v>
      </c>
    </row>
    <row r="18" customFormat="false" ht="15" hidden="false" customHeight="false" outlineLevel="0" collapsed="false">
      <c r="A18" s="4" t="s">
        <v>12</v>
      </c>
    </row>
    <row r="20" customFormat="false" ht="23.85" hidden="false" customHeight="false" outlineLevel="0" collapsed="false">
      <c r="A20" s="4" t="s">
        <v>13</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7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4"/>
    <col collapsed="false" customWidth="true" hidden="false" outlineLevel="0" max="2" min="2" style="0" width="26"/>
    <col collapsed="false" customWidth="true" hidden="false" outlineLevel="0" max="7" min="3" style="0" width="20"/>
  </cols>
  <sheetData>
    <row r="1" customFormat="false" ht="17.35" hidden="false" customHeight="false" outlineLevel="0" collapsed="false">
      <c r="A1" s="1" t="s">
        <v>14</v>
      </c>
    </row>
    <row r="2" customFormat="false" ht="15" hidden="false" customHeight="false" outlineLevel="0" collapsed="false">
      <c r="A2" s="2" t="s">
        <v>15</v>
      </c>
    </row>
    <row r="4" customFormat="false" ht="15" hidden="false" customHeight="false" outlineLevel="0" collapsed="false">
      <c r="A4" s="5" t="s">
        <v>16</v>
      </c>
    </row>
    <row r="5" customFormat="false" ht="15" hidden="false" customHeight="false" outlineLevel="0" collapsed="false">
      <c r="A5" s="6" t="s">
        <v>17</v>
      </c>
      <c r="B5" s="7"/>
      <c r="C5" s="7"/>
      <c r="D5" s="7"/>
      <c r="E5" s="7"/>
      <c r="F5" s="7"/>
      <c r="G5" s="7"/>
    </row>
    <row r="6" customFormat="false" ht="15" hidden="false" customHeight="true" outlineLevel="0" collapsed="false">
      <c r="A6" s="8" t="s">
        <v>18</v>
      </c>
      <c r="B6" s="7"/>
      <c r="C6" s="7"/>
      <c r="D6" s="7"/>
      <c r="E6" s="7"/>
      <c r="F6" s="7"/>
      <c r="G6" s="7"/>
    </row>
    <row r="7" customFormat="false" ht="15" hidden="false" customHeight="false" outlineLevel="0" collapsed="false">
      <c r="A7" s="8"/>
      <c r="B7" s="7"/>
      <c r="C7" s="7"/>
      <c r="D7" s="7"/>
      <c r="E7" s="7"/>
      <c r="F7" s="7"/>
      <c r="G7" s="7"/>
    </row>
    <row r="8" customFormat="false" ht="15" hidden="false" customHeight="false" outlineLevel="0" collapsed="false">
      <c r="A8" s="8"/>
      <c r="B8" s="7"/>
      <c r="C8" s="7"/>
      <c r="D8" s="7"/>
      <c r="E8" s="7"/>
      <c r="F8" s="7"/>
      <c r="G8" s="7"/>
    </row>
    <row r="10" customFormat="false" ht="15" hidden="false" customHeight="false" outlineLevel="0" collapsed="false">
      <c r="A10" s="6" t="s">
        <v>19</v>
      </c>
      <c r="B10" s="9"/>
    </row>
    <row r="11" customFormat="false" ht="15" hidden="false" customHeight="false" outlineLevel="0" collapsed="false">
      <c r="A11" s="6" t="s">
        <v>20</v>
      </c>
      <c r="B11" s="9"/>
    </row>
    <row r="13" customFormat="false" ht="15" hidden="false" customHeight="false" outlineLevel="0" collapsed="false">
      <c r="A13" s="5" t="s">
        <v>21</v>
      </c>
    </row>
    <row r="14" customFormat="false" ht="15" hidden="false" customHeight="false" outlineLevel="0" collapsed="false">
      <c r="A14" s="10" t="s">
        <v>22</v>
      </c>
      <c r="B14" s="9"/>
      <c r="C14" s="9"/>
      <c r="D14" s="9"/>
      <c r="E14" s="9"/>
      <c r="F14" s="9"/>
      <c r="G14" s="9"/>
    </row>
    <row r="15" customFormat="false" ht="15" hidden="false" customHeight="false" outlineLevel="0" collapsed="false">
      <c r="A15" s="10" t="s">
        <v>23</v>
      </c>
      <c r="B15" s="9"/>
      <c r="C15" s="9"/>
      <c r="D15" s="9"/>
      <c r="E15" s="9"/>
      <c r="F15" s="9"/>
      <c r="G15" s="9"/>
    </row>
    <row r="16" customFormat="false" ht="15" hidden="false" customHeight="false" outlineLevel="0" collapsed="false">
      <c r="A16" s="10" t="s">
        <v>24</v>
      </c>
      <c r="B16" s="9"/>
      <c r="C16" s="9"/>
      <c r="D16" s="9"/>
      <c r="E16" s="9"/>
      <c r="F16" s="9"/>
      <c r="G16" s="9"/>
    </row>
    <row r="17" customFormat="false" ht="15" hidden="false" customHeight="false" outlineLevel="0" collapsed="false">
      <c r="A17" s="10" t="s">
        <v>25</v>
      </c>
      <c r="B17" s="9"/>
      <c r="C17" s="9"/>
      <c r="D17" s="9"/>
      <c r="E17" s="9"/>
      <c r="F17" s="9"/>
      <c r="G17" s="9"/>
    </row>
    <row r="18" customFormat="false" ht="15" hidden="false" customHeight="false" outlineLevel="0" collapsed="false">
      <c r="A18" s="10" t="s">
        <v>26</v>
      </c>
      <c r="B18" s="9"/>
      <c r="C18" s="9"/>
      <c r="D18" s="9"/>
      <c r="E18" s="9"/>
      <c r="F18" s="9"/>
      <c r="G18" s="9"/>
    </row>
    <row r="19" customFormat="false" ht="15" hidden="false" customHeight="false" outlineLevel="0" collapsed="false">
      <c r="A19" s="10" t="s">
        <v>27</v>
      </c>
      <c r="B19" s="9"/>
      <c r="C19" s="9"/>
      <c r="D19" s="9"/>
      <c r="E19" s="9"/>
      <c r="F19" s="9"/>
      <c r="G19" s="9"/>
    </row>
    <row r="20" customFormat="false" ht="15" hidden="false" customHeight="false" outlineLevel="0" collapsed="false">
      <c r="A20" s="10" t="s">
        <v>28</v>
      </c>
      <c r="B20" s="9"/>
      <c r="C20" s="9"/>
      <c r="D20" s="9"/>
      <c r="E20" s="9"/>
      <c r="F20" s="9"/>
      <c r="G20" s="9"/>
    </row>
    <row r="22" customFormat="false" ht="15" hidden="false" customHeight="false" outlineLevel="0" collapsed="false">
      <c r="A22" s="5" t="s">
        <v>29</v>
      </c>
    </row>
    <row r="23" customFormat="false" ht="15" hidden="false" customHeight="true" outlineLevel="0" collapsed="false">
      <c r="A23" s="8" t="s">
        <v>30</v>
      </c>
      <c r="B23" s="8"/>
      <c r="C23" s="8"/>
      <c r="D23" s="8"/>
      <c r="E23" s="8"/>
      <c r="F23" s="8"/>
      <c r="G23" s="8"/>
      <c r="H23" s="8"/>
    </row>
    <row r="24" customFormat="false" ht="15" hidden="false" customHeight="false" outlineLevel="0" collapsed="false">
      <c r="A24" s="8"/>
      <c r="B24" s="8"/>
      <c r="C24" s="8"/>
      <c r="D24" s="8"/>
      <c r="E24" s="8"/>
      <c r="F24" s="8"/>
      <c r="G24" s="8"/>
      <c r="H24" s="8"/>
    </row>
    <row r="26" customFormat="false" ht="15" hidden="false" customHeight="false" outlineLevel="0" collapsed="false">
      <c r="A26" s="11" t="s">
        <v>31</v>
      </c>
      <c r="B26" s="11" t="s">
        <v>32</v>
      </c>
      <c r="C26" s="11"/>
      <c r="D26" s="11" t="s">
        <v>31</v>
      </c>
      <c r="E26" s="11" t="s">
        <v>32</v>
      </c>
    </row>
    <row r="27" customFormat="false" ht="15" hidden="false" customHeight="false" outlineLevel="0" collapsed="false">
      <c r="A27" s="12" t="s">
        <v>33</v>
      </c>
      <c r="B27" s="13" t="n">
        <f aca="false">'2. Rent Roll'!D6</f>
        <v>5</v>
      </c>
      <c r="D27" s="12" t="s">
        <v>34</v>
      </c>
      <c r="E27" s="14" t="n">
        <f aca="false">'2. Rent Roll'!D11</f>
        <v>0.8125</v>
      </c>
    </row>
    <row r="28" customFormat="false" ht="15" hidden="false" customHeight="false" outlineLevel="0" collapsed="false">
      <c r="A28" s="12" t="s">
        <v>35</v>
      </c>
      <c r="B28" s="15" t="n">
        <f aca="false">'2. Rent Roll'!D7</f>
        <v>5.38</v>
      </c>
      <c r="D28" s="12" t="s">
        <v>36</v>
      </c>
      <c r="E28" s="14" t="n">
        <f aca="false">'2. Rent Roll'!D12</f>
        <v>0.75561797752809</v>
      </c>
    </row>
    <row r="29" customFormat="false" ht="15" hidden="false" customHeight="false" outlineLevel="0" collapsed="false">
      <c r="A29" s="12" t="s">
        <v>37</v>
      </c>
      <c r="B29" s="15" t="n">
        <f aca="false">'2. Rent Roll'!D8</f>
        <v>7.12</v>
      </c>
      <c r="D29" s="12" t="s">
        <v>38</v>
      </c>
      <c r="E29" s="16" t="n">
        <f aca="false">'2. Rent Roll'!D13</f>
        <v>5.7639405204461</v>
      </c>
    </row>
    <row r="30" customFormat="false" ht="15" hidden="false" customHeight="false" outlineLevel="0" collapsed="false">
      <c r="A30" s="12" t="s">
        <v>39</v>
      </c>
      <c r="B30" s="15" t="n">
        <f aca="false">'2. Rent Roll'!D9</f>
        <v>1.74</v>
      </c>
      <c r="D30" s="12" t="s">
        <v>40</v>
      </c>
      <c r="E30" s="16" t="n">
        <f aca="false">'2. Rent Roll'!D14</f>
        <v>4.74907063197026</v>
      </c>
    </row>
    <row r="31" customFormat="false" ht="15" hidden="false" customHeight="false" outlineLevel="0" collapsed="false">
      <c r="A31" s="12" t="s">
        <v>41</v>
      </c>
      <c r="B31" s="14" t="n">
        <f aca="false">'2. Rent Roll'!D10</f>
        <v>0.323420074349442</v>
      </c>
      <c r="D31" s="12" t="s">
        <v>42</v>
      </c>
      <c r="E31" s="14" t="n">
        <f aca="false">'2. Rent Roll'!D15</f>
        <v>0.25092936802974</v>
      </c>
    </row>
    <row r="33" customFormat="false" ht="15" hidden="false" customHeight="false" outlineLevel="0" collapsed="false">
      <c r="A33" s="5" t="s">
        <v>43</v>
      </c>
    </row>
    <row r="34" customFormat="false" ht="15" hidden="false" customHeight="false" outlineLevel="0" collapsed="false">
      <c r="A34" s="11" t="s">
        <v>44</v>
      </c>
      <c r="B34" s="11" t="s">
        <v>45</v>
      </c>
      <c r="C34" s="11" t="s">
        <v>46</v>
      </c>
      <c r="D34" s="11" t="s">
        <v>47</v>
      </c>
      <c r="E34" s="11" t="s">
        <v>48</v>
      </c>
      <c r="F34" s="11" t="s">
        <v>49</v>
      </c>
      <c r="G34" s="11" t="s">
        <v>50</v>
      </c>
    </row>
    <row r="35" customFormat="false" ht="15" hidden="false" customHeight="false" outlineLevel="0" collapsed="false">
      <c r="A35" s="12" t="s">
        <v>51</v>
      </c>
      <c r="B35" s="9"/>
      <c r="C35" s="9"/>
      <c r="D35" s="9"/>
      <c r="E35" s="9"/>
      <c r="F35" s="9"/>
      <c r="G35" s="9"/>
    </row>
    <row r="36" customFormat="false" ht="15" hidden="false" customHeight="false" outlineLevel="0" collapsed="false">
      <c r="A36" s="12" t="s">
        <v>52</v>
      </c>
      <c r="B36" s="9"/>
      <c r="C36" s="9"/>
      <c r="D36" s="9"/>
      <c r="E36" s="9"/>
      <c r="F36" s="9"/>
      <c r="G36" s="9"/>
    </row>
    <row r="37" customFormat="false" ht="15" hidden="false" customHeight="false" outlineLevel="0" collapsed="false">
      <c r="A37" s="12" t="s">
        <v>53</v>
      </c>
      <c r="B37" s="9"/>
      <c r="C37" s="9"/>
      <c r="D37" s="9"/>
      <c r="E37" s="9"/>
      <c r="F37" s="9"/>
      <c r="G37" s="9"/>
    </row>
    <row r="39" customFormat="false" ht="15" hidden="false" customHeight="false" outlineLevel="0" collapsed="false">
      <c r="A39" s="10" t="s">
        <v>54</v>
      </c>
      <c r="B39" s="9"/>
      <c r="C39" s="9"/>
      <c r="D39" s="9"/>
      <c r="E39" s="9"/>
      <c r="F39" s="9"/>
      <c r="G39" s="9"/>
    </row>
    <row r="40" customFormat="false" ht="15" hidden="false" customHeight="false" outlineLevel="0" collapsed="false">
      <c r="A40" s="10" t="s">
        <v>55</v>
      </c>
      <c r="B40" s="9"/>
      <c r="C40" s="9"/>
      <c r="D40" s="9"/>
      <c r="E40" s="9"/>
      <c r="F40" s="9"/>
      <c r="G40" s="9"/>
    </row>
    <row r="41" customFormat="false" ht="15" hidden="false" customHeight="false" outlineLevel="0" collapsed="false">
      <c r="A41" s="10" t="s">
        <v>56</v>
      </c>
      <c r="B41" s="9"/>
      <c r="C41" s="9"/>
      <c r="D41" s="9"/>
      <c r="E41" s="9"/>
      <c r="F41" s="9"/>
      <c r="G41" s="9"/>
    </row>
    <row r="42" customFormat="false" ht="15" hidden="false" customHeight="false" outlineLevel="0" collapsed="false">
      <c r="A42" s="10" t="s">
        <v>57</v>
      </c>
      <c r="B42" s="9"/>
      <c r="C42" s="9"/>
      <c r="D42" s="9"/>
      <c r="E42" s="9"/>
      <c r="F42" s="9"/>
      <c r="G42" s="9"/>
    </row>
    <row r="44" customFormat="false" ht="15" hidden="false" customHeight="false" outlineLevel="0" collapsed="false">
      <c r="A44" s="5" t="s">
        <v>58</v>
      </c>
    </row>
    <row r="45" customFormat="false" ht="15" hidden="false" customHeight="true" outlineLevel="0" collapsed="false">
      <c r="A45" s="8" t="s">
        <v>59</v>
      </c>
      <c r="B45" s="8"/>
      <c r="C45" s="8"/>
      <c r="D45" s="8"/>
      <c r="E45" s="8"/>
      <c r="F45" s="8"/>
      <c r="G45" s="8"/>
      <c r="H45" s="8"/>
    </row>
    <row r="46" customFormat="false" ht="15" hidden="false" customHeight="false" outlineLevel="0" collapsed="false">
      <c r="A46" s="8"/>
      <c r="B46" s="8"/>
      <c r="C46" s="8"/>
      <c r="D46" s="8"/>
      <c r="E46" s="8"/>
      <c r="F46" s="8"/>
      <c r="G46" s="8"/>
      <c r="H46" s="8"/>
    </row>
    <row r="48" customFormat="false" ht="23.85" hidden="false" customHeight="false" outlineLevel="0" collapsed="false">
      <c r="A48" s="11" t="s">
        <v>60</v>
      </c>
      <c r="B48" s="11" t="s">
        <v>61</v>
      </c>
      <c r="C48" s="11" t="s">
        <v>62</v>
      </c>
      <c r="D48" s="11" t="s">
        <v>63</v>
      </c>
      <c r="E48" s="11" t="s">
        <v>64</v>
      </c>
      <c r="F48" s="11" t="s">
        <v>46</v>
      </c>
      <c r="G48" s="11" t="s">
        <v>65</v>
      </c>
    </row>
    <row r="49" customFormat="false" ht="15" hidden="false" customHeight="false" outlineLevel="0" collapsed="false">
      <c r="A49" s="9"/>
      <c r="B49" s="9"/>
      <c r="C49" s="17"/>
      <c r="D49" s="17"/>
      <c r="E49" s="17"/>
      <c r="F49" s="9"/>
      <c r="G49" s="9"/>
    </row>
    <row r="50" customFormat="false" ht="15" hidden="false" customHeight="false" outlineLevel="0" collapsed="false">
      <c r="A50" s="9"/>
      <c r="B50" s="9"/>
      <c r="C50" s="17"/>
      <c r="D50" s="17"/>
      <c r="E50" s="17"/>
      <c r="F50" s="9"/>
      <c r="G50" s="9"/>
    </row>
    <row r="51" customFormat="false" ht="15" hidden="false" customHeight="false" outlineLevel="0" collapsed="false">
      <c r="A51" s="9"/>
      <c r="B51" s="9"/>
      <c r="C51" s="17"/>
      <c r="D51" s="17"/>
      <c r="E51" s="17"/>
      <c r="F51" s="9"/>
      <c r="G51" s="9"/>
    </row>
    <row r="53" customFormat="false" ht="15" hidden="false" customHeight="false" outlineLevel="0" collapsed="false">
      <c r="A53" s="5" t="s">
        <v>66</v>
      </c>
    </row>
    <row r="54" customFormat="false" ht="23.85" hidden="false" customHeight="false" outlineLevel="0" collapsed="false">
      <c r="A54" s="11" t="s">
        <v>67</v>
      </c>
      <c r="B54" s="11" t="s">
        <v>68</v>
      </c>
      <c r="C54" s="11" t="s">
        <v>69</v>
      </c>
      <c r="D54" s="11" t="s">
        <v>70</v>
      </c>
      <c r="E54" s="11" t="s">
        <v>71</v>
      </c>
      <c r="F54" s="11" t="s">
        <v>72</v>
      </c>
      <c r="G54" s="11" t="s">
        <v>73</v>
      </c>
    </row>
    <row r="55" customFormat="false" ht="15" hidden="false" customHeight="false" outlineLevel="0" collapsed="false">
      <c r="A55" s="9"/>
      <c r="B55" s="9"/>
      <c r="C55" s="18"/>
      <c r="D55" s="17"/>
      <c r="E55" s="9"/>
      <c r="F55" s="9"/>
      <c r="G55" s="9"/>
    </row>
    <row r="56" customFormat="false" ht="15" hidden="false" customHeight="false" outlineLevel="0" collapsed="false">
      <c r="A56" s="9"/>
      <c r="B56" s="9"/>
      <c r="C56" s="18"/>
      <c r="D56" s="17"/>
      <c r="E56" s="9"/>
      <c r="F56" s="9"/>
      <c r="G56" s="9"/>
    </row>
    <row r="57" customFormat="false" ht="15" hidden="false" customHeight="false" outlineLevel="0" collapsed="false">
      <c r="A57" s="9"/>
      <c r="B57" s="9"/>
      <c r="C57" s="18"/>
      <c r="D57" s="17"/>
      <c r="E57" s="9"/>
      <c r="F57" s="9"/>
      <c r="G57" s="9"/>
    </row>
    <row r="58" customFormat="false" ht="15" hidden="false" customHeight="false" outlineLevel="0" collapsed="false">
      <c r="A58" s="9"/>
      <c r="B58" s="9"/>
      <c r="C58" s="18"/>
      <c r="D58" s="17"/>
      <c r="E58" s="9"/>
      <c r="F58" s="9"/>
      <c r="G58" s="9"/>
    </row>
    <row r="59" customFormat="false" ht="15" hidden="false" customHeight="false" outlineLevel="0" collapsed="false">
      <c r="A59" s="9"/>
      <c r="B59" s="9"/>
      <c r="C59" s="18"/>
      <c r="D59" s="17"/>
      <c r="E59" s="9"/>
      <c r="F59" s="9"/>
      <c r="G59" s="9"/>
    </row>
    <row r="60" customFormat="false" ht="15" hidden="false" customHeight="false" outlineLevel="0" collapsed="false">
      <c r="A60" s="9"/>
      <c r="B60" s="9"/>
      <c r="C60" s="18"/>
      <c r="D60" s="17"/>
      <c r="E60" s="9"/>
      <c r="F60" s="9"/>
      <c r="G60" s="9"/>
    </row>
    <row r="62" customFormat="false" ht="15" hidden="false" customHeight="false" outlineLevel="0" collapsed="false">
      <c r="A62" s="5" t="s">
        <v>74</v>
      </c>
    </row>
    <row r="63" customFormat="false" ht="15" hidden="false" customHeight="true" outlineLevel="0" collapsed="false">
      <c r="A63" s="8" t="s">
        <v>75</v>
      </c>
      <c r="B63" s="8"/>
      <c r="C63" s="8"/>
      <c r="D63" s="8"/>
      <c r="E63" s="8"/>
      <c r="F63" s="8"/>
      <c r="G63" s="8"/>
      <c r="H63" s="8"/>
    </row>
    <row r="65" customFormat="false" ht="15" hidden="false" customHeight="false" outlineLevel="0" collapsed="false">
      <c r="A65" s="11" t="s">
        <v>76</v>
      </c>
      <c r="B65" s="11" t="s">
        <v>77</v>
      </c>
      <c r="C65" s="11" t="s">
        <v>78</v>
      </c>
      <c r="D65" s="11" t="s">
        <v>79</v>
      </c>
      <c r="E65" s="11" t="s">
        <v>61</v>
      </c>
    </row>
    <row r="66" customFormat="false" ht="15" hidden="false" customHeight="false" outlineLevel="0" collapsed="false">
      <c r="A66" s="9"/>
      <c r="B66" s="17"/>
      <c r="C66" s="9"/>
      <c r="D66" s="9"/>
      <c r="E66" s="9"/>
    </row>
    <row r="67" customFormat="false" ht="15" hidden="false" customHeight="false" outlineLevel="0" collapsed="false">
      <c r="A67" s="9"/>
      <c r="B67" s="17"/>
      <c r="C67" s="9"/>
      <c r="D67" s="9"/>
      <c r="E67" s="9"/>
    </row>
    <row r="68" customFormat="false" ht="15" hidden="false" customHeight="false" outlineLevel="0" collapsed="false">
      <c r="A68" s="9"/>
      <c r="B68" s="17"/>
      <c r="C68" s="9"/>
      <c r="D68" s="9"/>
      <c r="E68" s="9"/>
    </row>
    <row r="69" customFormat="false" ht="15" hidden="false" customHeight="false" outlineLevel="0" collapsed="false">
      <c r="A69" s="9"/>
      <c r="B69" s="17"/>
      <c r="C69" s="9"/>
      <c r="D69" s="9"/>
      <c r="E69" s="9"/>
    </row>
    <row r="70" customFormat="false" ht="15" hidden="false" customHeight="false" outlineLevel="0" collapsed="false">
      <c r="A70" s="9"/>
      <c r="B70" s="17"/>
      <c r="C70" s="9"/>
      <c r="D70" s="9"/>
      <c r="E70" s="9"/>
    </row>
    <row r="72" customFormat="false" ht="15" hidden="false" customHeight="false" outlineLevel="0" collapsed="false">
      <c r="A72" s="5" t="s">
        <v>80</v>
      </c>
    </row>
    <row r="73" customFormat="false" ht="15" hidden="false" customHeight="false" outlineLevel="0" collapsed="false">
      <c r="A73" s="10" t="s">
        <v>81</v>
      </c>
      <c r="B73" s="9"/>
      <c r="C73" s="9"/>
      <c r="D73" s="9"/>
      <c r="E73" s="9"/>
      <c r="F73" s="9"/>
      <c r="G73" s="9"/>
    </row>
    <row r="74" customFormat="false" ht="15" hidden="false" customHeight="false" outlineLevel="0" collapsed="false">
      <c r="A74" s="10" t="s">
        <v>82</v>
      </c>
      <c r="B74" s="9"/>
      <c r="C74" s="9"/>
      <c r="D74" s="9"/>
      <c r="E74" s="9"/>
      <c r="F74" s="9"/>
      <c r="G74" s="9"/>
    </row>
    <row r="75" customFormat="false" ht="15" hidden="false" customHeight="false" outlineLevel="0" collapsed="false">
      <c r="A75" s="10" t="s">
        <v>83</v>
      </c>
      <c r="B75" s="9"/>
      <c r="C75" s="9"/>
      <c r="D75" s="9"/>
      <c r="E75" s="9"/>
      <c r="F75" s="9"/>
      <c r="G75" s="9"/>
    </row>
    <row r="76" customFormat="false" ht="15" hidden="false" customHeight="false" outlineLevel="0" collapsed="false">
      <c r="A76" s="10" t="s">
        <v>84</v>
      </c>
      <c r="B76" s="9"/>
      <c r="C76" s="9"/>
      <c r="D76" s="9"/>
      <c r="E76" s="9"/>
      <c r="F76" s="9"/>
      <c r="G76" s="9"/>
    </row>
    <row r="77" customFormat="false" ht="15" hidden="false" customHeight="false" outlineLevel="0" collapsed="false">
      <c r="A77" s="10" t="s">
        <v>85</v>
      </c>
      <c r="B77" s="9"/>
      <c r="C77" s="9"/>
      <c r="D77" s="9"/>
      <c r="E77" s="9"/>
      <c r="F77" s="9"/>
      <c r="G77" s="9"/>
    </row>
    <row r="78" customFormat="false" ht="15" hidden="false" customHeight="false" outlineLevel="0" collapsed="false">
      <c r="A78" s="10" t="s">
        <v>86</v>
      </c>
      <c r="B78" s="9"/>
      <c r="C78" s="9"/>
      <c r="D78" s="9"/>
      <c r="E78" s="9"/>
      <c r="F78" s="9"/>
      <c r="G78" s="9"/>
    </row>
    <row r="79" customFormat="false" ht="15" hidden="false" customHeight="false" outlineLevel="0" collapsed="false">
      <c r="A79" s="10" t="s">
        <v>87</v>
      </c>
      <c r="B79" s="9"/>
      <c r="C79" s="9"/>
      <c r="D79" s="9"/>
      <c r="E79" s="9"/>
      <c r="F79" s="9"/>
      <c r="G79" s="9"/>
    </row>
  </sheetData>
  <mergeCells count="23">
    <mergeCell ref="B5:G8"/>
    <mergeCell ref="A6:A8"/>
    <mergeCell ref="B14:G14"/>
    <mergeCell ref="B15:G15"/>
    <mergeCell ref="B16:G16"/>
    <mergeCell ref="B17:G17"/>
    <mergeCell ref="B18:G18"/>
    <mergeCell ref="B19:G19"/>
    <mergeCell ref="B20:G20"/>
    <mergeCell ref="A23:H24"/>
    <mergeCell ref="B39:G39"/>
    <mergeCell ref="B40:G40"/>
    <mergeCell ref="B41:G41"/>
    <mergeCell ref="B42:G42"/>
    <mergeCell ref="A45:H46"/>
    <mergeCell ref="A63:H63"/>
    <mergeCell ref="B73:G73"/>
    <mergeCell ref="B74:G74"/>
    <mergeCell ref="B75:G75"/>
    <mergeCell ref="B76:G76"/>
    <mergeCell ref="B77:G77"/>
    <mergeCell ref="B78:G78"/>
    <mergeCell ref="B79:G79"/>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6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0"/>
    <col collapsed="false" customWidth="true" hidden="false" outlineLevel="0" max="5" min="2" style="0" width="14"/>
    <col collapsed="false" customWidth="true" hidden="false" outlineLevel="0" max="9" min="6" style="0" width="12"/>
    <col collapsed="false" customWidth="true" hidden="false" outlineLevel="0" max="12" min="10" style="0" width="14"/>
  </cols>
  <sheetData>
    <row r="1" customFormat="false" ht="17.35" hidden="false" customHeight="false" outlineLevel="0" collapsed="false">
      <c r="A1" s="1" t="s">
        <v>88</v>
      </c>
    </row>
    <row r="2" customFormat="false" ht="15" hidden="false" customHeight="false" outlineLevel="0" collapsed="false">
      <c r="A2" s="2" t="s">
        <v>89</v>
      </c>
    </row>
    <row r="4" customFormat="false" ht="15" hidden="false" customHeight="false" outlineLevel="0" collapsed="false">
      <c r="A4" s="10" t="s">
        <v>90</v>
      </c>
      <c r="D4" s="19" t="n">
        <v>0</v>
      </c>
      <c r="E4" s="20" t="s">
        <v>91</v>
      </c>
    </row>
    <row r="6" customFormat="false" ht="15" hidden="false" customHeight="false" outlineLevel="0" collapsed="false">
      <c r="A6" s="21" t="s">
        <v>33</v>
      </c>
      <c r="B6" s="21"/>
      <c r="C6" s="21"/>
      <c r="D6" s="22" t="n">
        <f aca="false">COUNTIF(C22:C41,"Let")</f>
        <v>5</v>
      </c>
    </row>
    <row r="7" customFormat="false" ht="15" hidden="false" customHeight="false" outlineLevel="0" collapsed="false">
      <c r="A7" s="21" t="s">
        <v>35</v>
      </c>
      <c r="B7" s="21"/>
      <c r="C7" s="21"/>
      <c r="D7" s="23" t="n">
        <f aca="false">SUM(D22:D41)</f>
        <v>5.38</v>
      </c>
    </row>
    <row r="8" customFormat="false" ht="15" hidden="false" customHeight="false" outlineLevel="0" collapsed="false">
      <c r="A8" s="21" t="s">
        <v>92</v>
      </c>
      <c r="B8" s="21"/>
      <c r="C8" s="21"/>
      <c r="D8" s="23" t="n">
        <f aca="false">SUM(E22:E41)</f>
        <v>7.12</v>
      </c>
    </row>
    <row r="9" customFormat="false" ht="15" hidden="false" customHeight="false" outlineLevel="0" collapsed="false">
      <c r="A9" s="21" t="s">
        <v>39</v>
      </c>
      <c r="B9" s="21"/>
      <c r="C9" s="21"/>
      <c r="D9" s="23" t="n">
        <f aca="false">IFERROR(D8-D7,"")</f>
        <v>1.74</v>
      </c>
    </row>
    <row r="10" customFormat="false" ht="15" hidden="false" customHeight="false" outlineLevel="0" collapsed="false">
      <c r="A10" s="21" t="s">
        <v>41</v>
      </c>
      <c r="B10" s="21"/>
      <c r="C10" s="21"/>
      <c r="D10" s="24" t="n">
        <f aca="false">IFERROR(D9/D7,"")</f>
        <v>0.323420074349442</v>
      </c>
    </row>
    <row r="11" customFormat="false" ht="15" hidden="false" customHeight="false" outlineLevel="0" collapsed="false">
      <c r="A11" s="21" t="s">
        <v>34</v>
      </c>
      <c r="B11" s="21"/>
      <c r="C11" s="21"/>
      <c r="D11" s="24" t="n">
        <f aca="false">IFERROR(SUMIF(C22:C41,"Let",B22:B41)/SUM(B22:B41),"")</f>
        <v>0.8125</v>
      </c>
    </row>
    <row r="12" customFormat="false" ht="15" hidden="false" customHeight="false" outlineLevel="0" collapsed="false">
      <c r="A12" s="21" t="s">
        <v>36</v>
      </c>
      <c r="B12" s="21"/>
      <c r="C12" s="21"/>
      <c r="D12" s="24" t="n">
        <f aca="false">IFERROR(D7/D8,"")</f>
        <v>0.75561797752809</v>
      </c>
    </row>
    <row r="13" customFormat="false" ht="15" hidden="false" customHeight="false" outlineLevel="0" collapsed="false">
      <c r="A13" s="21" t="s">
        <v>93</v>
      </c>
      <c r="B13" s="21"/>
      <c r="C13" s="21"/>
      <c r="D13" s="25" t="n">
        <f aca="false">IFERROR(SUMPRODUCT(D22:D41,F22:F41)/D7,"")</f>
        <v>5.7639405204461</v>
      </c>
    </row>
    <row r="14" customFormat="false" ht="15" hidden="false" customHeight="false" outlineLevel="0" collapsed="false">
      <c r="A14" s="21" t="s">
        <v>94</v>
      </c>
      <c r="B14" s="21"/>
      <c r="C14" s="21"/>
      <c r="D14" s="25" t="n">
        <f aca="false">IFERROR(SUMPRODUCT(D22:D41,G22:G41)/D7,"")</f>
        <v>4.74907063197026</v>
      </c>
    </row>
    <row r="15" customFormat="false" ht="15" hidden="false" customHeight="false" outlineLevel="0" collapsed="false">
      <c r="A15" s="21" t="s">
        <v>42</v>
      </c>
      <c r="B15" s="21"/>
      <c r="C15" s="21"/>
      <c r="D15" s="24" t="n">
        <f aca="false">IFERROR(MAX(D22:D41)/D7,"")</f>
        <v>0.25092936802974</v>
      </c>
    </row>
    <row r="16" customFormat="false" ht="15" hidden="false" customHeight="false" outlineLevel="0" collapsed="false">
      <c r="A16" s="21" t="s">
        <v>95</v>
      </c>
      <c r="B16" s="21"/>
      <c r="C16" s="21"/>
      <c r="D16" s="24" t="n">
        <f aca="false">IFERROR((LARGE(D22:D41,1)+LARGE(D22:D41,2)+LARGE(D22:D41,3))/D7,"")</f>
        <v>0.715613382899628</v>
      </c>
    </row>
    <row r="17" customFormat="false" ht="15" hidden="false" customHeight="false" outlineLevel="0" collapsed="false">
      <c r="A17" s="21" t="s">
        <v>96</v>
      </c>
      <c r="B17" s="21"/>
      <c r="C17" s="21"/>
      <c r="D17" s="24" t="n">
        <f aca="false">IFERROR(SUM(LARGE(D22:D41,1),LARGE(D22:D41,2),LARGE(D22:D41,3),LARGE(D22:D41,4),LARGE(D22:D41,5))/D7,"")</f>
        <v>1</v>
      </c>
    </row>
    <row r="20" customFormat="false" ht="15" hidden="false" customHeight="false" outlineLevel="0" collapsed="false">
      <c r="A20" s="5" t="s">
        <v>97</v>
      </c>
    </row>
    <row r="21" customFormat="false" ht="23.85" hidden="false" customHeight="false" outlineLevel="0" collapsed="false">
      <c r="A21" s="11" t="s">
        <v>98</v>
      </c>
      <c r="B21" s="11" t="s">
        <v>48</v>
      </c>
      <c r="C21" s="11" t="s">
        <v>99</v>
      </c>
      <c r="D21" s="11" t="s">
        <v>35</v>
      </c>
      <c r="E21" s="11" t="s">
        <v>100</v>
      </c>
      <c r="F21" s="11" t="s">
        <v>101</v>
      </c>
      <c r="G21" s="11" t="s">
        <v>102</v>
      </c>
      <c r="H21" s="11" t="s">
        <v>103</v>
      </c>
      <c r="I21" s="11" t="s">
        <v>104</v>
      </c>
      <c r="J21" s="11" t="s">
        <v>105</v>
      </c>
    </row>
    <row r="22" customFormat="false" ht="15" hidden="false" customHeight="false" outlineLevel="0" collapsed="false">
      <c r="A22" s="9" t="s">
        <v>106</v>
      </c>
      <c r="B22" s="26" t="n">
        <v>450</v>
      </c>
      <c r="C22" s="9" t="s">
        <v>107</v>
      </c>
      <c r="D22" s="27" t="n">
        <v>1.3</v>
      </c>
      <c r="E22" s="27" t="n">
        <v>1.38</v>
      </c>
      <c r="F22" s="28" t="n">
        <v>6.5</v>
      </c>
      <c r="G22" s="28" t="n">
        <v>3.5</v>
      </c>
      <c r="H22" s="9" t="s">
        <v>108</v>
      </c>
      <c r="I22" s="29" t="n">
        <f aca="false">IFERROR(D22/$D$7,"")</f>
        <v>0.241635687732342</v>
      </c>
      <c r="J22" s="9"/>
    </row>
    <row r="23" customFormat="false" ht="15" hidden="false" customHeight="false" outlineLevel="0" collapsed="false">
      <c r="A23" s="9" t="s">
        <v>109</v>
      </c>
      <c r="B23" s="26" t="n">
        <v>450</v>
      </c>
      <c r="C23" s="9" t="s">
        <v>107</v>
      </c>
      <c r="D23" s="27" t="n">
        <v>1.2</v>
      </c>
      <c r="E23" s="27" t="n">
        <v>1.38</v>
      </c>
      <c r="F23" s="28" t="n">
        <v>4</v>
      </c>
      <c r="G23" s="28" t="n">
        <v>4</v>
      </c>
      <c r="H23" s="9" t="s">
        <v>110</v>
      </c>
      <c r="I23" s="29" t="n">
        <f aca="false">IFERROR(D23/$D$7,"")</f>
        <v>0.223048327137546</v>
      </c>
      <c r="J23" s="9"/>
    </row>
    <row r="24" customFormat="false" ht="15" hidden="false" customHeight="false" outlineLevel="0" collapsed="false">
      <c r="A24" s="9" t="s">
        <v>111</v>
      </c>
      <c r="B24" s="26" t="n">
        <v>450</v>
      </c>
      <c r="C24" s="9" t="s">
        <v>112</v>
      </c>
      <c r="D24" s="27" t="n">
        <v>0</v>
      </c>
      <c r="E24" s="27" t="n">
        <v>1.38</v>
      </c>
      <c r="F24" s="28" t="n">
        <v>0</v>
      </c>
      <c r="G24" s="28" t="n">
        <v>0</v>
      </c>
      <c r="H24" s="9"/>
      <c r="I24" s="29" t="n">
        <f aca="false">IFERROR(D24/$D$7,"")</f>
        <v>0</v>
      </c>
      <c r="J24" s="9"/>
    </row>
    <row r="25" customFormat="false" ht="15" hidden="false" customHeight="false" outlineLevel="0" collapsed="false">
      <c r="A25" s="9" t="s">
        <v>113</v>
      </c>
      <c r="B25" s="26" t="n">
        <v>450</v>
      </c>
      <c r="C25" s="9" t="s">
        <v>107</v>
      </c>
      <c r="D25" s="27" t="n">
        <v>1.35</v>
      </c>
      <c r="E25" s="27" t="n">
        <v>1.38</v>
      </c>
      <c r="F25" s="28" t="n">
        <v>8</v>
      </c>
      <c r="G25" s="28" t="n">
        <v>8</v>
      </c>
      <c r="H25" s="9" t="s">
        <v>108</v>
      </c>
      <c r="I25" s="29" t="n">
        <f aca="false">IFERROR(D25/$D$7,"")</f>
        <v>0.25092936802974</v>
      </c>
      <c r="J25" s="9"/>
    </row>
    <row r="26" customFormat="false" ht="15" hidden="false" customHeight="false" outlineLevel="0" collapsed="false">
      <c r="A26" s="9" t="s">
        <v>114</v>
      </c>
      <c r="B26" s="26" t="n">
        <v>300</v>
      </c>
      <c r="C26" s="9" t="s">
        <v>107</v>
      </c>
      <c r="D26" s="27" t="n">
        <v>0.75</v>
      </c>
      <c r="E26" s="27" t="n">
        <v>0.8</v>
      </c>
      <c r="F26" s="28" t="n">
        <v>2</v>
      </c>
      <c r="G26" s="28" t="n">
        <v>2</v>
      </c>
      <c r="H26" s="9" t="s">
        <v>110</v>
      </c>
      <c r="I26" s="29" t="n">
        <f aca="false">IFERROR(D26/$D$7,"")</f>
        <v>0.139405204460967</v>
      </c>
      <c r="J26" s="9"/>
    </row>
    <row r="27" customFormat="false" ht="15" hidden="false" customHeight="false" outlineLevel="0" collapsed="false">
      <c r="A27" s="9" t="s">
        <v>115</v>
      </c>
      <c r="B27" s="26" t="n">
        <v>300</v>
      </c>
      <c r="C27" s="9" t="s">
        <v>107</v>
      </c>
      <c r="D27" s="27" t="n">
        <v>0.78</v>
      </c>
      <c r="E27" s="27" t="n">
        <v>0.8</v>
      </c>
      <c r="F27" s="28" t="n">
        <v>7</v>
      </c>
      <c r="G27" s="28" t="n">
        <v>5</v>
      </c>
      <c r="H27" s="9" t="s">
        <v>116</v>
      </c>
      <c r="I27" s="29" t="n">
        <f aca="false">IFERROR(D27/$D$7,"")</f>
        <v>0.144981412639405</v>
      </c>
      <c r="J27" s="9"/>
    </row>
    <row r="28" customFormat="false" ht="15" hidden="false" customHeight="false" outlineLevel="0" collapsed="false">
      <c r="A28" s="9"/>
      <c r="B28" s="9"/>
      <c r="C28" s="9"/>
      <c r="D28" s="27"/>
      <c r="E28" s="27"/>
      <c r="F28" s="9"/>
      <c r="G28" s="9"/>
      <c r="H28" s="9"/>
      <c r="I28" s="29" t="n">
        <f aca="false">IFERROR(D28/$D$7,"")</f>
        <v>0</v>
      </c>
      <c r="J28" s="9"/>
    </row>
    <row r="29" customFormat="false" ht="15" hidden="false" customHeight="false" outlineLevel="0" collapsed="false">
      <c r="A29" s="9"/>
      <c r="B29" s="9"/>
      <c r="C29" s="9"/>
      <c r="D29" s="27"/>
      <c r="E29" s="27"/>
      <c r="F29" s="9"/>
      <c r="G29" s="9"/>
      <c r="H29" s="9"/>
      <c r="I29" s="29" t="n">
        <f aca="false">IFERROR(D29/$D$7,"")</f>
        <v>0</v>
      </c>
      <c r="J29" s="9"/>
    </row>
    <row r="30" customFormat="false" ht="15" hidden="false" customHeight="false" outlineLevel="0" collapsed="false">
      <c r="A30" s="9"/>
      <c r="B30" s="9"/>
      <c r="C30" s="9"/>
      <c r="D30" s="27"/>
      <c r="E30" s="27"/>
      <c r="F30" s="9"/>
      <c r="G30" s="9"/>
      <c r="H30" s="9"/>
      <c r="I30" s="29" t="n">
        <f aca="false">IFERROR(D30/$D$7,"")</f>
        <v>0</v>
      </c>
      <c r="J30" s="9"/>
    </row>
    <row r="31" customFormat="false" ht="15" hidden="false" customHeight="false" outlineLevel="0" collapsed="false">
      <c r="A31" s="9"/>
      <c r="B31" s="9"/>
      <c r="C31" s="9"/>
      <c r="D31" s="27"/>
      <c r="E31" s="27"/>
      <c r="F31" s="9"/>
      <c r="G31" s="9"/>
      <c r="H31" s="9"/>
      <c r="I31" s="29" t="n">
        <f aca="false">IFERROR(D31/$D$7,"")</f>
        <v>0</v>
      </c>
      <c r="J31" s="9"/>
    </row>
    <row r="32" customFormat="false" ht="15" hidden="false" customHeight="false" outlineLevel="0" collapsed="false">
      <c r="A32" s="9"/>
      <c r="B32" s="9"/>
      <c r="C32" s="9"/>
      <c r="D32" s="27"/>
      <c r="E32" s="27"/>
      <c r="F32" s="9"/>
      <c r="G32" s="9"/>
      <c r="H32" s="9"/>
      <c r="I32" s="29" t="n">
        <f aca="false">IFERROR(D32/$D$7,"")</f>
        <v>0</v>
      </c>
      <c r="J32" s="9"/>
    </row>
    <row r="33" customFormat="false" ht="15" hidden="false" customHeight="false" outlineLevel="0" collapsed="false">
      <c r="A33" s="9"/>
      <c r="B33" s="9"/>
      <c r="C33" s="9"/>
      <c r="D33" s="27"/>
      <c r="E33" s="27"/>
      <c r="F33" s="9"/>
      <c r="G33" s="9"/>
      <c r="H33" s="9"/>
      <c r="I33" s="29" t="n">
        <f aca="false">IFERROR(D33/$D$7,"")</f>
        <v>0</v>
      </c>
      <c r="J33" s="9"/>
    </row>
    <row r="34" customFormat="false" ht="15" hidden="false" customHeight="false" outlineLevel="0" collapsed="false">
      <c r="A34" s="9"/>
      <c r="B34" s="9"/>
      <c r="C34" s="9"/>
      <c r="D34" s="27"/>
      <c r="E34" s="27"/>
      <c r="F34" s="9"/>
      <c r="G34" s="9"/>
      <c r="H34" s="9"/>
      <c r="I34" s="29" t="n">
        <f aca="false">IFERROR(D34/$D$7,"")</f>
        <v>0</v>
      </c>
      <c r="J34" s="9"/>
    </row>
    <row r="35" customFormat="false" ht="15" hidden="false" customHeight="false" outlineLevel="0" collapsed="false">
      <c r="A35" s="9"/>
      <c r="B35" s="9"/>
      <c r="C35" s="9"/>
      <c r="D35" s="27"/>
      <c r="E35" s="27"/>
      <c r="F35" s="9"/>
      <c r="G35" s="9"/>
      <c r="H35" s="9"/>
      <c r="I35" s="29" t="n">
        <f aca="false">IFERROR(D35/$D$7,"")</f>
        <v>0</v>
      </c>
      <c r="J35" s="9"/>
    </row>
    <row r="36" customFormat="false" ht="15" hidden="false" customHeight="false" outlineLevel="0" collapsed="false">
      <c r="A36" s="9"/>
      <c r="B36" s="9"/>
      <c r="C36" s="9"/>
      <c r="D36" s="27"/>
      <c r="E36" s="27"/>
      <c r="F36" s="9"/>
      <c r="G36" s="9"/>
      <c r="H36" s="9"/>
      <c r="I36" s="29" t="n">
        <f aca="false">IFERROR(D36/$D$7,"")</f>
        <v>0</v>
      </c>
      <c r="J36" s="9"/>
    </row>
    <row r="37" customFormat="false" ht="15" hidden="false" customHeight="false" outlineLevel="0" collapsed="false">
      <c r="A37" s="9"/>
      <c r="B37" s="9"/>
      <c r="C37" s="9"/>
      <c r="D37" s="27"/>
      <c r="E37" s="27"/>
      <c r="F37" s="9"/>
      <c r="G37" s="9"/>
      <c r="H37" s="9"/>
      <c r="I37" s="29" t="n">
        <f aca="false">IFERROR(D37/$D$7,"")</f>
        <v>0</v>
      </c>
      <c r="J37" s="9"/>
    </row>
    <row r="38" customFormat="false" ht="15" hidden="false" customHeight="false" outlineLevel="0" collapsed="false">
      <c r="A38" s="9"/>
      <c r="B38" s="9"/>
      <c r="C38" s="9"/>
      <c r="D38" s="27"/>
      <c r="E38" s="27"/>
      <c r="F38" s="9"/>
      <c r="G38" s="9"/>
      <c r="H38" s="9"/>
      <c r="I38" s="29" t="n">
        <f aca="false">IFERROR(D38/$D$7,"")</f>
        <v>0</v>
      </c>
      <c r="J38" s="9"/>
    </row>
    <row r="39" customFormat="false" ht="15" hidden="false" customHeight="false" outlineLevel="0" collapsed="false">
      <c r="A39" s="9"/>
      <c r="B39" s="9"/>
      <c r="C39" s="9"/>
      <c r="D39" s="27"/>
      <c r="E39" s="27"/>
      <c r="F39" s="9"/>
      <c r="G39" s="9"/>
      <c r="H39" s="9"/>
      <c r="I39" s="29" t="n">
        <f aca="false">IFERROR(D39/$D$7,"")</f>
        <v>0</v>
      </c>
      <c r="J39" s="9"/>
    </row>
    <row r="40" customFormat="false" ht="15" hidden="false" customHeight="false" outlineLevel="0" collapsed="false">
      <c r="A40" s="9"/>
      <c r="B40" s="9"/>
      <c r="C40" s="9"/>
      <c r="D40" s="27"/>
      <c r="E40" s="27"/>
      <c r="F40" s="9"/>
      <c r="G40" s="9"/>
      <c r="H40" s="9"/>
      <c r="I40" s="29" t="n">
        <f aca="false">IFERROR(D40/$D$7,"")</f>
        <v>0</v>
      </c>
      <c r="J40" s="9"/>
    </row>
    <row r="41" customFormat="false" ht="15" hidden="false" customHeight="false" outlineLevel="0" collapsed="false">
      <c r="A41" s="9"/>
      <c r="B41" s="9"/>
      <c r="C41" s="9"/>
      <c r="D41" s="27"/>
      <c r="E41" s="27"/>
      <c r="F41" s="9"/>
      <c r="G41" s="9"/>
      <c r="H41" s="9"/>
      <c r="I41" s="29" t="n">
        <f aca="false">IFERROR(D41/$D$7,"")</f>
        <v>0</v>
      </c>
      <c r="J41" s="9"/>
    </row>
    <row r="42" customFormat="false" ht="15" hidden="false" customHeight="false" outlineLevel="0" collapsed="false">
      <c r="A42" s="6" t="s">
        <v>117</v>
      </c>
      <c r="B42" s="30" t="n">
        <f aca="false">SUM(B22:B41)</f>
        <v>2400</v>
      </c>
      <c r="D42" s="31" t="n">
        <f aca="false">SUM(D22:D41)</f>
        <v>5.38</v>
      </c>
      <c r="E42" s="31" t="n">
        <f aca="false">SUM(E22:E41)</f>
        <v>7.12</v>
      </c>
    </row>
    <row r="44" customFormat="false" ht="15" hidden="false" customHeight="false" outlineLevel="0" collapsed="false">
      <c r="A44" s="5" t="s">
        <v>118</v>
      </c>
    </row>
    <row r="45" customFormat="false" ht="23.85" hidden="false" customHeight="false" outlineLevel="0" collapsed="false">
      <c r="A45" s="11" t="s">
        <v>69</v>
      </c>
      <c r="B45" s="11" t="s">
        <v>119</v>
      </c>
      <c r="C45" s="11" t="s">
        <v>120</v>
      </c>
      <c r="D45" s="11" t="s">
        <v>121</v>
      </c>
      <c r="E45" s="11" t="s">
        <v>122</v>
      </c>
    </row>
    <row r="46" customFormat="false" ht="15" hidden="false" customHeight="false" outlineLevel="0" collapsed="false">
      <c r="A46" s="32" t="n">
        <v>1</v>
      </c>
      <c r="B46" s="33" t="n">
        <f aca="false">SUMIFS($D$22:$D$41,$F$22:$F$41,"&gt;="&amp;(A46-1),$F$22:$F$41,"&lt;"&amp;A46)</f>
        <v>0</v>
      </c>
      <c r="C46" s="33" t="n">
        <f aca="false">SUMIFS($D$22:$D$41,$G$22:$G$41,"&gt;="&amp;(A46-1),$G$22:$G$41,"&lt;"&amp;A46,$G$22:$G$41,"&gt;0")</f>
        <v>0</v>
      </c>
      <c r="D46" s="33" t="n">
        <f aca="false">B46</f>
        <v>0</v>
      </c>
      <c r="E46" s="29" t="n">
        <f aca="false">IFERROR(D46/$D$7,"")</f>
        <v>0</v>
      </c>
    </row>
    <row r="47" customFormat="false" ht="15" hidden="false" customHeight="false" outlineLevel="0" collapsed="false">
      <c r="A47" s="32" t="n">
        <v>2</v>
      </c>
      <c r="B47" s="33" t="n">
        <f aca="false">SUMIFS($D$22:$D$41,$F$22:$F$41,"&gt;="&amp;(A47-1),$F$22:$F$41,"&lt;"&amp;A47)</f>
        <v>0</v>
      </c>
      <c r="C47" s="33" t="n">
        <f aca="false">SUMIFS($D$22:$D$41,$G$22:$G$41,"&gt;="&amp;(A47-1),$G$22:$G$41,"&lt;"&amp;A47,$G$22:$G$41,"&gt;0")</f>
        <v>0</v>
      </c>
      <c r="D47" s="33" t="n">
        <f aca="false">D46+B47</f>
        <v>0</v>
      </c>
      <c r="E47" s="29" t="n">
        <f aca="false">IFERROR(D47/$D$7,"")</f>
        <v>0</v>
      </c>
    </row>
    <row r="48" customFormat="false" ht="15" hidden="false" customHeight="false" outlineLevel="0" collapsed="false">
      <c r="A48" s="32" t="n">
        <v>3</v>
      </c>
      <c r="B48" s="33" t="n">
        <f aca="false">SUMIFS($D$22:$D$41,$F$22:$F$41,"&gt;="&amp;(A48-1),$F$22:$F$41,"&lt;"&amp;A48)</f>
        <v>0.75</v>
      </c>
      <c r="C48" s="33" t="n">
        <f aca="false">SUMIFS($D$22:$D$41,$G$22:$G$41,"&gt;="&amp;(A48-1),$G$22:$G$41,"&lt;"&amp;A48,$G$22:$G$41,"&gt;0")</f>
        <v>0.75</v>
      </c>
      <c r="D48" s="33" t="n">
        <f aca="false">D47+B48</f>
        <v>0.75</v>
      </c>
      <c r="E48" s="29" t="n">
        <f aca="false">IFERROR(D48/$D$7,"")</f>
        <v>0.139405204460967</v>
      </c>
    </row>
    <row r="49" customFormat="false" ht="15" hidden="false" customHeight="false" outlineLevel="0" collapsed="false">
      <c r="A49" s="32" t="n">
        <v>4</v>
      </c>
      <c r="B49" s="33" t="n">
        <f aca="false">SUMIFS($D$22:$D$41,$F$22:$F$41,"&gt;="&amp;(A49-1),$F$22:$F$41,"&lt;"&amp;A49)</f>
        <v>0</v>
      </c>
      <c r="C49" s="33" t="n">
        <f aca="false">SUMIFS($D$22:$D$41,$G$22:$G$41,"&gt;="&amp;(A49-1),$G$22:$G$41,"&lt;"&amp;A49,$G$22:$G$41,"&gt;0")</f>
        <v>1.3</v>
      </c>
      <c r="D49" s="33" t="n">
        <f aca="false">D48+B49</f>
        <v>0.75</v>
      </c>
      <c r="E49" s="29" t="n">
        <f aca="false">IFERROR(D49/$D$7,"")</f>
        <v>0.139405204460967</v>
      </c>
    </row>
    <row r="50" customFormat="false" ht="15" hidden="false" customHeight="false" outlineLevel="0" collapsed="false">
      <c r="A50" s="32" t="n">
        <v>5</v>
      </c>
      <c r="B50" s="33" t="n">
        <f aca="false">SUMIFS($D$22:$D$41,$F$22:$F$41,"&gt;="&amp;(A50-1),$F$22:$F$41,"&lt;"&amp;A50)</f>
        <v>1.2</v>
      </c>
      <c r="C50" s="33" t="n">
        <f aca="false">SUMIFS($D$22:$D$41,$G$22:$G$41,"&gt;="&amp;(A50-1),$G$22:$G$41,"&lt;"&amp;A50,$G$22:$G$41,"&gt;0")</f>
        <v>1.2</v>
      </c>
      <c r="D50" s="33" t="n">
        <f aca="false">D49+B50</f>
        <v>1.95</v>
      </c>
      <c r="E50" s="29" t="n">
        <f aca="false">IFERROR(D50/$D$7,"")</f>
        <v>0.362453531598513</v>
      </c>
    </row>
    <row r="51" customFormat="false" ht="15" hidden="false" customHeight="false" outlineLevel="0" collapsed="false">
      <c r="A51" s="32" t="n">
        <v>6</v>
      </c>
      <c r="B51" s="33" t="n">
        <f aca="false">SUMIFS($D$22:$D$41,$F$22:$F$41,"&gt;="&amp;(A51-1),$F$22:$F$41,"&lt;"&amp;A51)</f>
        <v>0</v>
      </c>
      <c r="C51" s="33" t="n">
        <f aca="false">SUMIFS($D$22:$D$41,$G$22:$G$41,"&gt;="&amp;(A51-1),$G$22:$G$41,"&lt;"&amp;A51,$G$22:$G$41,"&gt;0")</f>
        <v>0.78</v>
      </c>
      <c r="D51" s="33" t="n">
        <f aca="false">D50+B51</f>
        <v>1.95</v>
      </c>
      <c r="E51" s="29" t="n">
        <f aca="false">IFERROR(D51/$D$7,"")</f>
        <v>0.362453531598513</v>
      </c>
    </row>
    <row r="52" customFormat="false" ht="15" hidden="false" customHeight="false" outlineLevel="0" collapsed="false">
      <c r="A52" s="32" t="n">
        <v>7</v>
      </c>
      <c r="B52" s="33" t="n">
        <f aca="false">SUMIFS($D$22:$D$41,$F$22:$F$41,"&gt;="&amp;(A52-1),$F$22:$F$41,"&lt;"&amp;A52)</f>
        <v>1.3</v>
      </c>
      <c r="C52" s="33" t="n">
        <f aca="false">SUMIFS($D$22:$D$41,$G$22:$G$41,"&gt;="&amp;(A52-1),$G$22:$G$41,"&lt;"&amp;A52,$G$22:$G$41,"&gt;0")</f>
        <v>0</v>
      </c>
      <c r="D52" s="33" t="n">
        <f aca="false">D51+B52</f>
        <v>3.25</v>
      </c>
      <c r="E52" s="29" t="n">
        <f aca="false">IFERROR(D52/$D$7,"")</f>
        <v>0.604089219330855</v>
      </c>
    </row>
    <row r="53" customFormat="false" ht="15" hidden="false" customHeight="false" outlineLevel="0" collapsed="false">
      <c r="A53" s="32" t="n">
        <v>8</v>
      </c>
      <c r="B53" s="33" t="n">
        <f aca="false">SUMIFS($D$22:$D$41,$F$22:$F$41,"&gt;="&amp;(A53-1),$F$22:$F$41,"&lt;"&amp;A53)</f>
        <v>0.78</v>
      </c>
      <c r="C53" s="33" t="n">
        <f aca="false">SUMIFS($D$22:$D$41,$G$22:$G$41,"&gt;="&amp;(A53-1),$G$22:$G$41,"&lt;"&amp;A53,$G$22:$G$41,"&gt;0")</f>
        <v>0</v>
      </c>
      <c r="D53" s="33" t="n">
        <f aca="false">D52+B53</f>
        <v>4.03</v>
      </c>
      <c r="E53" s="29" t="n">
        <f aca="false">IFERROR(D53/$D$7,"")</f>
        <v>0.74907063197026</v>
      </c>
    </row>
    <row r="54" customFormat="false" ht="15" hidden="false" customHeight="false" outlineLevel="0" collapsed="false">
      <c r="A54" s="32" t="n">
        <v>9</v>
      </c>
      <c r="B54" s="33" t="n">
        <f aca="false">SUMIFS($D$22:$D$41,$F$22:$F$41,"&gt;="&amp;(A54-1),$F$22:$F$41,"&lt;"&amp;A54)</f>
        <v>1.35</v>
      </c>
      <c r="C54" s="33" t="n">
        <f aca="false">SUMIFS($D$22:$D$41,$G$22:$G$41,"&gt;="&amp;(A54-1),$G$22:$G$41,"&lt;"&amp;A54,$G$22:$G$41,"&gt;0")</f>
        <v>1.35</v>
      </c>
      <c r="D54" s="33" t="n">
        <f aca="false">D53+B54</f>
        <v>5.38</v>
      </c>
      <c r="E54" s="29" t="n">
        <f aca="false">IFERROR(D54/$D$7,"")</f>
        <v>1</v>
      </c>
    </row>
    <row r="55" customFormat="false" ht="15" hidden="false" customHeight="false" outlineLevel="0" collapsed="false">
      <c r="A55" s="32" t="n">
        <v>10</v>
      </c>
      <c r="B55" s="33" t="n">
        <f aca="false">SUMIFS($D$22:$D$41,$F$22:$F$41,"&gt;="&amp;(A55-1),$F$22:$F$41,"&lt;"&amp;A55)</f>
        <v>0</v>
      </c>
      <c r="C55" s="33" t="n">
        <f aca="false">SUMIFS($D$22:$D$41,$G$22:$G$41,"&gt;="&amp;(A55-1),$G$22:$G$41,"&lt;"&amp;A55,$G$22:$G$41,"&gt;0")</f>
        <v>0</v>
      </c>
      <c r="D55" s="33" t="n">
        <f aca="false">D54+B55</f>
        <v>5.38</v>
      </c>
      <c r="E55" s="29" t="n">
        <f aca="false">IFERROR(D55/$D$7,"")</f>
        <v>1</v>
      </c>
    </row>
    <row r="57" customFormat="false" ht="15" hidden="false" customHeight="false" outlineLevel="0" collapsed="false">
      <c r="A57" s="5" t="s">
        <v>123</v>
      </c>
    </row>
    <row r="58" customFormat="false" ht="15" hidden="false" customHeight="false" outlineLevel="0" collapsed="false">
      <c r="A58" s="11" t="s">
        <v>124</v>
      </c>
      <c r="B58" s="11" t="s">
        <v>32</v>
      </c>
      <c r="C58" s="11" t="s">
        <v>125</v>
      </c>
      <c r="D58" s="11" t="s">
        <v>126</v>
      </c>
    </row>
    <row r="59" customFormat="false" ht="15" hidden="false" customHeight="false" outlineLevel="0" collapsed="false">
      <c r="A59" s="12" t="s">
        <v>127</v>
      </c>
      <c r="B59" s="29" t="n">
        <f aca="false">D15</f>
        <v>0.25092936802974</v>
      </c>
      <c r="C59" s="34" t="n">
        <v>0.2</v>
      </c>
      <c r="D59" s="35" t="str">
        <f aca="false">IF(B59="","",IF(B59&gt;C59,"Above threshold — covenant assessment required","OK"))</f>
        <v>Above threshold — covenant assessment required</v>
      </c>
    </row>
    <row r="60" customFormat="false" ht="15" hidden="false" customHeight="false" outlineLevel="0" collapsed="false">
      <c r="A60" s="12" t="s">
        <v>128</v>
      </c>
      <c r="B60" s="29" t="n">
        <f aca="false">D16</f>
        <v>0.715613382899628</v>
      </c>
      <c r="C60" s="34" t="n">
        <v>0.5</v>
      </c>
      <c r="D60" s="35" t="str">
        <f aca="false">IF(B60="","",IF(B60&gt;C60,"Above threshold — covenant assessment required","OK"))</f>
        <v>Above threshold — covenant assessment required</v>
      </c>
    </row>
    <row r="61" customFormat="false" ht="15" hidden="false" customHeight="false" outlineLevel="0" collapsed="false">
      <c r="A61" s="12" t="s">
        <v>129</v>
      </c>
      <c r="B61" s="29" t="n">
        <f aca="false">D17</f>
        <v>1</v>
      </c>
      <c r="C61" s="34" t="n">
        <v>0.7</v>
      </c>
      <c r="D61" s="35" t="str">
        <f aca="false">IF(B61="","",IF(B61&gt;C61,"Above threshold — covenant assessment required","OK"))</f>
        <v>Above threshold — covenant assessment required</v>
      </c>
    </row>
    <row r="63" customFormat="false" ht="15" hidden="false" customHeight="false" outlineLevel="0" collapsed="false">
      <c r="A63" s="20" t="s">
        <v>130</v>
      </c>
    </row>
  </sheetData>
  <mergeCells count="12">
    <mergeCell ref="A6:C6"/>
    <mergeCell ref="A7:C7"/>
    <mergeCell ref="A8:C8"/>
    <mergeCell ref="A9:C9"/>
    <mergeCell ref="A10:C10"/>
    <mergeCell ref="A11:C11"/>
    <mergeCell ref="A12:C12"/>
    <mergeCell ref="A13:C13"/>
    <mergeCell ref="A14:C14"/>
    <mergeCell ref="A15:C15"/>
    <mergeCell ref="A16:C16"/>
    <mergeCell ref="A17:C17"/>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L6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8"/>
    <col collapsed="false" customWidth="true" hidden="false" outlineLevel="0" max="13" min="2" style="0" width="12"/>
  </cols>
  <sheetData>
    <row r="1" customFormat="false" ht="17.35" hidden="false" customHeight="false" outlineLevel="0" collapsed="false">
      <c r="A1" s="1" t="s">
        <v>131</v>
      </c>
    </row>
    <row r="2" customFormat="false" ht="15" hidden="false" customHeight="false" outlineLevel="0" collapsed="false">
      <c r="A2" s="2" t="s">
        <v>132</v>
      </c>
    </row>
    <row r="4" customFormat="false" ht="15" hidden="false" customHeight="false" outlineLevel="0" collapsed="false">
      <c r="A4" s="5" t="s">
        <v>133</v>
      </c>
    </row>
    <row r="5" customFormat="false" ht="15" hidden="false" customHeight="false" outlineLevel="0" collapsed="false">
      <c r="A5" s="10" t="s">
        <v>134</v>
      </c>
      <c r="C5" s="36" t="n">
        <v>100</v>
      </c>
    </row>
    <row r="6" customFormat="false" ht="15" hidden="false" customHeight="false" outlineLevel="0" collapsed="false">
      <c r="A6" s="10" t="s">
        <v>135</v>
      </c>
      <c r="C6" s="37" t="n">
        <v>5</v>
      </c>
    </row>
    <row r="7" customFormat="false" ht="15" hidden="false" customHeight="false" outlineLevel="0" collapsed="false">
      <c r="A7" s="10" t="s">
        <v>136</v>
      </c>
      <c r="C7" s="38" t="n">
        <v>0.015</v>
      </c>
    </row>
    <row r="8" customFormat="false" ht="15" hidden="false" customHeight="false" outlineLevel="0" collapsed="false">
      <c r="A8" s="10" t="s">
        <v>137</v>
      </c>
      <c r="C8" s="39" t="n">
        <v>9</v>
      </c>
    </row>
    <row r="9" customFormat="false" ht="15" hidden="false" customHeight="false" outlineLevel="0" collapsed="false">
      <c r="A9" s="10" t="s">
        <v>138</v>
      </c>
      <c r="C9" s="39" t="n">
        <v>9</v>
      </c>
    </row>
    <row r="10" customFormat="false" ht="15" hidden="false" customHeight="false" outlineLevel="0" collapsed="false">
      <c r="A10" s="10" t="s">
        <v>139</v>
      </c>
      <c r="C10" s="40" t="n">
        <v>0.12</v>
      </c>
    </row>
    <row r="11" customFormat="false" ht="15" hidden="false" customHeight="false" outlineLevel="0" collapsed="false">
      <c r="A11" s="10" t="s">
        <v>140</v>
      </c>
      <c r="C11" s="38" t="n">
        <v>0.6</v>
      </c>
    </row>
    <row r="12" customFormat="false" ht="15" hidden="false" customHeight="false" outlineLevel="0" collapsed="false">
      <c r="A12" s="10" t="s">
        <v>141</v>
      </c>
      <c r="C12" s="39" t="n">
        <v>9</v>
      </c>
    </row>
    <row r="13" customFormat="false" ht="15" hidden="false" customHeight="false" outlineLevel="0" collapsed="false">
      <c r="A13" s="10" t="s">
        <v>142</v>
      </c>
      <c r="C13" s="39" t="n">
        <v>9</v>
      </c>
    </row>
    <row r="14" customFormat="false" ht="15" hidden="false" customHeight="false" outlineLevel="0" collapsed="false">
      <c r="A14" s="10" t="s">
        <v>143</v>
      </c>
      <c r="C14" s="27" t="n">
        <v>0.51</v>
      </c>
    </row>
    <row r="15" customFormat="false" ht="15" hidden="false" customHeight="false" outlineLevel="0" collapsed="false">
      <c r="A15" s="10" t="s">
        <v>144</v>
      </c>
      <c r="C15" s="38" t="n">
        <v>0.88</v>
      </c>
    </row>
    <row r="16" customFormat="false" ht="15" hidden="false" customHeight="false" outlineLevel="0" collapsed="false">
      <c r="A16" s="10" t="s">
        <v>145</v>
      </c>
      <c r="C16" s="27" t="n">
        <v>0.1</v>
      </c>
    </row>
    <row r="17" customFormat="false" ht="15" hidden="false" customHeight="false" outlineLevel="0" collapsed="false">
      <c r="A17" s="10" t="s">
        <v>146</v>
      </c>
      <c r="C17" s="41" t="n">
        <v>0.055</v>
      </c>
    </row>
    <row r="18" customFormat="false" ht="15" hidden="false" customHeight="false" outlineLevel="0" collapsed="false">
      <c r="A18" s="10" t="s">
        <v>147</v>
      </c>
      <c r="C18" s="40" t="n">
        <v>0.086</v>
      </c>
    </row>
    <row r="19" customFormat="false" ht="15" hidden="false" customHeight="false" outlineLevel="0" collapsed="false">
      <c r="A19" s="10" t="s">
        <v>148</v>
      </c>
      <c r="C19" s="27" t="n">
        <v>0</v>
      </c>
    </row>
    <row r="20" customFormat="false" ht="15" hidden="false" customHeight="false" outlineLevel="0" collapsed="false">
      <c r="A20" s="10" t="s">
        <v>149</v>
      </c>
      <c r="C20" s="40" t="n">
        <v>0.05</v>
      </c>
    </row>
    <row r="21" customFormat="false" ht="15" hidden="false" customHeight="false" outlineLevel="0" collapsed="false">
      <c r="A21" s="10" t="s">
        <v>150</v>
      </c>
      <c r="C21" s="38" t="n">
        <v>0.07</v>
      </c>
    </row>
    <row r="23" customFormat="false" ht="15" hidden="false" customHeight="false" outlineLevel="0" collapsed="false">
      <c r="A23" s="5" t="s">
        <v>151</v>
      </c>
    </row>
    <row r="24" customFormat="false" ht="35.05" hidden="false" customHeight="false" outlineLevel="0" collapsed="false">
      <c r="A24" s="11" t="s">
        <v>67</v>
      </c>
      <c r="B24" s="11" t="s">
        <v>68</v>
      </c>
      <c r="C24" s="11" t="s">
        <v>69</v>
      </c>
      <c r="D24" s="11" t="s">
        <v>70</v>
      </c>
      <c r="E24" s="11" t="s">
        <v>72</v>
      </c>
    </row>
    <row r="25" customFormat="false" ht="15" hidden="false" customHeight="false" outlineLevel="0" collapsed="false">
      <c r="A25" s="9" t="s">
        <v>152</v>
      </c>
      <c r="B25" s="9" t="s">
        <v>153</v>
      </c>
      <c r="C25" s="18" t="n">
        <v>3</v>
      </c>
      <c r="D25" s="27" t="n">
        <v>0.4</v>
      </c>
      <c r="E25" s="9" t="s">
        <v>154</v>
      </c>
    </row>
    <row r="26" customFormat="false" ht="15" hidden="false" customHeight="false" outlineLevel="0" collapsed="false">
      <c r="A26" s="9" t="s">
        <v>155</v>
      </c>
      <c r="B26" s="9" t="s">
        <v>156</v>
      </c>
      <c r="C26" s="18" t="n">
        <v>2</v>
      </c>
      <c r="D26" s="27" t="n">
        <v>0.25</v>
      </c>
      <c r="E26" s="9" t="s">
        <v>154</v>
      </c>
    </row>
    <row r="27" customFormat="false" ht="15" hidden="false" customHeight="false" outlineLevel="0" collapsed="false">
      <c r="A27" s="9" t="s">
        <v>157</v>
      </c>
      <c r="B27" s="9" t="s">
        <v>153</v>
      </c>
      <c r="C27" s="18"/>
      <c r="D27" s="27"/>
      <c r="E27" s="9" t="s">
        <v>154</v>
      </c>
    </row>
    <row r="28" customFormat="false" ht="15" hidden="false" customHeight="false" outlineLevel="0" collapsed="false">
      <c r="A28" s="9"/>
      <c r="B28" s="9"/>
      <c r="C28" s="18"/>
      <c r="D28" s="27"/>
      <c r="E28" s="9"/>
    </row>
    <row r="29" customFormat="false" ht="15" hidden="false" customHeight="false" outlineLevel="0" collapsed="false">
      <c r="A29" s="9"/>
      <c r="B29" s="9"/>
      <c r="C29" s="18"/>
      <c r="D29" s="27"/>
      <c r="E29" s="9"/>
    </row>
    <row r="30" customFormat="false" ht="15" hidden="false" customHeight="false" outlineLevel="0" collapsed="false">
      <c r="A30" s="9"/>
      <c r="B30" s="9"/>
      <c r="C30" s="18"/>
      <c r="D30" s="27"/>
      <c r="E30" s="9"/>
    </row>
    <row r="31" customFormat="false" ht="15" hidden="false" customHeight="false" outlineLevel="0" collapsed="false">
      <c r="A31" s="6" t="s">
        <v>117</v>
      </c>
      <c r="D31" s="31" t="n">
        <f aca="false">SUM(D25:D30)</f>
        <v>0.65</v>
      </c>
    </row>
    <row r="33" customFormat="false" ht="15" hidden="false" customHeight="false" outlineLevel="0" collapsed="false">
      <c r="A33" s="5" t="s">
        <v>158</v>
      </c>
    </row>
    <row r="34" customFormat="false" ht="15" hidden="false" customHeight="false" outlineLevel="0" collapsed="false">
      <c r="A34" s="11" t="s">
        <v>69</v>
      </c>
      <c r="B34" s="11" t="s">
        <v>159</v>
      </c>
      <c r="C34" s="11" t="s">
        <v>160</v>
      </c>
      <c r="D34" s="11" t="s">
        <v>161</v>
      </c>
      <c r="E34" s="11" t="s">
        <v>162</v>
      </c>
      <c r="F34" s="11" t="s">
        <v>163</v>
      </c>
      <c r="G34" s="11" t="s">
        <v>164</v>
      </c>
      <c r="H34" s="11" t="s">
        <v>165</v>
      </c>
      <c r="I34" s="11" t="s">
        <v>166</v>
      </c>
      <c r="J34" s="11" t="s">
        <v>167</v>
      </c>
      <c r="K34" s="11" t="s">
        <v>168</v>
      </c>
    </row>
    <row r="35" customFormat="false" ht="15" hidden="false" customHeight="false" outlineLevel="0" collapsed="false">
      <c r="A35" s="12" t="s">
        <v>169</v>
      </c>
      <c r="B35" s="33" t="n">
        <f aca="false">IFERROR(SUMIF('2. Rent Roll'!$F$22:$F$41,"&gt;="&amp;1,'2. Rent Roll'!$D$22:$D$41),0)</f>
        <v>5.38</v>
      </c>
      <c r="C35" s="33" t="n">
        <f aca="false">IFERROR(SUMIF('2. Rent Roll'!$F$22:$F$41,"&gt;="&amp;2,'2. Rent Roll'!$D$22:$D$41),0)</f>
        <v>5.38</v>
      </c>
      <c r="D35" s="33" t="n">
        <f aca="false">IFERROR(SUMIF('2. Rent Roll'!$F$22:$F$41,"&gt;="&amp;3,'2. Rent Roll'!$D$22:$D$41),0)</f>
        <v>4.63</v>
      </c>
      <c r="E35" s="33" t="n">
        <f aca="false">IFERROR(SUMIF('2. Rent Roll'!$F$22:$F$41,"&gt;="&amp;4,'2. Rent Roll'!$D$22:$D$41),0)</f>
        <v>4.63</v>
      </c>
      <c r="F35" s="33" t="n">
        <f aca="false">IFERROR(SUMIF('2. Rent Roll'!$F$22:$F$41,"&gt;="&amp;5,'2. Rent Roll'!$D$22:$D$41),0)</f>
        <v>3.43</v>
      </c>
      <c r="G35" s="33" t="n">
        <f aca="false">IFERROR(SUMIF('2. Rent Roll'!$F$22:$F$41,"&gt;="&amp;6,'2. Rent Roll'!$D$22:$D$41),0)</f>
        <v>3.43</v>
      </c>
      <c r="H35" s="33" t="n">
        <f aca="false">IFERROR(SUMIF('2. Rent Roll'!$F$22:$F$41,"&gt;="&amp;7,'2. Rent Roll'!$D$22:$D$41),0)</f>
        <v>2.13</v>
      </c>
      <c r="I35" s="33" t="n">
        <f aca="false">IFERROR(SUMIF('2. Rent Roll'!$F$22:$F$41,"&gt;="&amp;8,'2. Rent Roll'!$D$22:$D$41),0)</f>
        <v>1.35</v>
      </c>
      <c r="J35" s="33" t="n">
        <f aca="false">IFERROR(SUMIF('2. Rent Roll'!$F$22:$F$41,"&gt;="&amp;9,'2. Rent Roll'!$D$22:$D$41),0)</f>
        <v>0</v>
      </c>
      <c r="K35" s="33" t="n">
        <f aca="false">IFERROR(SUMIF('2. Rent Roll'!$F$22:$F$41,"&gt;="&amp;10,'2. Rent Roll'!$D$22:$D$41),0)</f>
        <v>0</v>
      </c>
    </row>
    <row r="36" customFormat="false" ht="15" hidden="false" customHeight="false" outlineLevel="0" collapsed="false">
      <c r="A36" s="12" t="s">
        <v>170</v>
      </c>
      <c r="B36" s="33" t="n">
        <f aca="false">IFERROR(SUMIFS('2. Rent Roll'!$E$22:$E$41,'2. Rent Roll'!$F$22:$F$41,"&lt;"&amp;1,'2. Rent Roll'!$F$22:$F$41,"&gt;0")*(1+$C$7)^1,0)</f>
        <v>0</v>
      </c>
      <c r="C36" s="33" t="n">
        <f aca="false">IFERROR(SUMIFS('2. Rent Roll'!$E$22:$E$41,'2. Rent Roll'!$F$22:$F$41,"&lt;"&amp;2,'2. Rent Roll'!$F$22:$F$41,"&gt;0")*(1+$C$7)^2,0)</f>
        <v>0</v>
      </c>
      <c r="D36" s="33" t="n">
        <f aca="false">IFERROR(SUMIFS('2. Rent Roll'!$E$22:$E$41,'2. Rent Roll'!$F$22:$F$41,"&lt;"&amp;3,'2. Rent Roll'!$F$22:$F$41,"&gt;0")*(1+$C$7)^3,0)</f>
        <v>0.8365427</v>
      </c>
      <c r="E36" s="33" t="n">
        <f aca="false">IFERROR(SUMIFS('2. Rent Roll'!$E$22:$E$41,'2. Rent Roll'!$F$22:$F$41,"&lt;"&amp;4,'2. Rent Roll'!$F$22:$F$41,"&gt;0")*(1+$C$7)^4,0)</f>
        <v>0.8490908405</v>
      </c>
      <c r="F36" s="33" t="n">
        <f aca="false">IFERROR(SUMIFS('2. Rent Roll'!$E$22:$E$41,'2. Rent Roll'!$F$22:$F$41,"&lt;"&amp;5,'2. Rent Roll'!$F$22:$F$41,"&gt;0")*(1+$C$7)^5,0)</f>
        <v>2.34847912846794</v>
      </c>
      <c r="G36" s="33" t="n">
        <f aca="false">IFERROR(SUMIFS('2. Rent Roll'!$E$22:$E$41,'2. Rent Roll'!$F$22:$F$41,"&lt;"&amp;6,'2. Rent Roll'!$F$22:$F$41,"&gt;0")*(1+$C$7)^6,0)</f>
        <v>2.38370631539495</v>
      </c>
      <c r="H36" s="33" t="n">
        <f aca="false">IFERROR(SUMIFS('2. Rent Roll'!$E$22:$E$41,'2. Rent Roll'!$F$22:$F$41,"&lt;"&amp;7,'2. Rent Roll'!$F$22:$F$41,"&gt;0")*(1+$C$7)^7,0)</f>
        <v>3.95104788993033</v>
      </c>
      <c r="I36" s="33" t="n">
        <f aca="false">IFERROR(SUMIFS('2. Rent Roll'!$E$22:$E$41,'2. Rent Roll'!$F$22:$F$41,"&lt;"&amp;8,'2. Rent Roll'!$F$22:$F$41,"&gt;0")*(1+$C$7)^8,0)</f>
        <v>4.91150767755554</v>
      </c>
      <c r="J36" s="33" t="n">
        <f aca="false">IFERROR(SUMIFS('2. Rent Roll'!$E$22:$E$41,'2. Rent Roll'!$F$22:$F$41,"&lt;"&amp;9,'2. Rent Roll'!$F$22:$F$41,"&gt;0")*(1+$C$7)^9,0)</f>
        <v>6.56305845876291</v>
      </c>
      <c r="K36" s="33" t="n">
        <f aca="false">IFERROR(SUMIFS('2. Rent Roll'!$E$22:$E$41,'2. Rent Roll'!$F$22:$F$41,"&lt;"&amp;10,'2. Rent Roll'!$F$22:$F$41,"&gt;0")*(1+$C$7)^10,0)</f>
        <v>6.66150433564436</v>
      </c>
    </row>
    <row r="37" customFormat="false" ht="15" hidden="false" customHeight="false" outlineLevel="0" collapsed="false">
      <c r="A37" s="12" t="s">
        <v>171</v>
      </c>
      <c r="B37" s="33" t="n">
        <f aca="false">IFERROR(SUMIF('2. Rent Roll'!$C$22:$C$41,"Vacant",'2. Rent Roll'!$E$22:$E$41)*(1+$C$7)^1*MAX(0,MIN(1,1-$C$8/12)),0)</f>
        <v>0.350175</v>
      </c>
      <c r="C37" s="33" t="n">
        <f aca="false">IFERROR(SUMIF('2. Rent Roll'!$C$22:$C$41,"Vacant",'2. Rent Roll'!$E$22:$E$41)*(1+$C$7)^2*MAX(0,MIN(1,2-$C$8/12)),0)</f>
        <v>1.4217105</v>
      </c>
      <c r="D37" s="33" t="n">
        <f aca="false">IFERROR(SUMIF('2. Rent Roll'!$C$22:$C$41,"Vacant",'2. Rent Roll'!$E$22:$E$41)*(1+$C$7)^3*MAX(0,MIN(1,3-$C$8/12)),0)</f>
        <v>1.4430361575</v>
      </c>
      <c r="E37" s="33" t="n">
        <f aca="false">IFERROR(SUMIF('2. Rent Roll'!$C$22:$C$41,"Vacant",'2. Rent Roll'!$E$22:$E$41)*(1+$C$7)^4*MAX(0,MIN(1,4-$C$8/12)),0)</f>
        <v>1.4646816998625</v>
      </c>
      <c r="F37" s="33" t="n">
        <f aca="false">IFERROR(SUMIF('2. Rent Roll'!$C$22:$C$41,"Vacant",'2. Rent Roll'!$E$22:$E$41)*(1+$C$7)^5*MAX(0,MIN(1,5-$C$8/12)),0)</f>
        <v>1.48665192536044</v>
      </c>
      <c r="G37" s="33" t="n">
        <f aca="false">IFERROR(SUMIF('2. Rent Roll'!$C$22:$C$41,"Vacant",'2. Rent Roll'!$E$22:$E$41)*(1+$C$7)^6*MAX(0,MIN(1,6-$C$8/12)),0)</f>
        <v>1.50895170424084</v>
      </c>
      <c r="H37" s="33" t="n">
        <f aca="false">IFERROR(SUMIF('2. Rent Roll'!$C$22:$C$41,"Vacant",'2. Rent Roll'!$E$22:$E$41)*(1+$C$7)^7*MAX(0,MIN(1,7-$C$8/12)),0)</f>
        <v>1.53158597980446</v>
      </c>
      <c r="I37" s="33" t="n">
        <f aca="false">IFERROR(SUMIF('2. Rent Roll'!$C$22:$C$41,"Vacant",'2. Rent Roll'!$E$22:$E$41)*(1+$C$7)^8*MAX(0,MIN(1,8-$C$8/12)),0)</f>
        <v>1.55455976950152</v>
      </c>
      <c r="J37" s="33" t="n">
        <f aca="false">IFERROR(SUMIF('2. Rent Roll'!$C$22:$C$41,"Vacant",'2. Rent Roll'!$E$22:$E$41)*(1+$C$7)^9*MAX(0,MIN(1,9-$C$8/12)),0)</f>
        <v>1.57787816604405</v>
      </c>
      <c r="K37" s="33" t="n">
        <f aca="false">IFERROR(SUMIF('2. Rent Roll'!$C$22:$C$41,"Vacant",'2. Rent Roll'!$E$22:$E$41)*(1+$C$7)^10*MAX(0,MIN(1,10-$C$8/12)),0)</f>
        <v>1.60154633853471</v>
      </c>
    </row>
    <row r="38" customFormat="false" ht="15" hidden="false" customHeight="false" outlineLevel="0" collapsed="false">
      <c r="A38" s="35" t="s">
        <v>172</v>
      </c>
      <c r="B38" s="42" t="n">
        <f aca="false">SUM(B35:B37)</f>
        <v>5.730175</v>
      </c>
      <c r="C38" s="42" t="n">
        <f aca="false">SUM(C35:C37)</f>
        <v>6.8017105</v>
      </c>
      <c r="D38" s="42" t="n">
        <f aca="false">SUM(D35:D37)</f>
        <v>6.9095788575</v>
      </c>
      <c r="E38" s="42" t="n">
        <f aca="false">SUM(E35:E37)</f>
        <v>6.9437725403625</v>
      </c>
      <c r="F38" s="42" t="n">
        <f aca="false">SUM(F35:F37)</f>
        <v>7.26513105382837</v>
      </c>
      <c r="G38" s="42" t="n">
        <f aca="false">SUM(G35:G37)</f>
        <v>7.3226580196358</v>
      </c>
      <c r="H38" s="42" t="n">
        <f aca="false">SUM(H35:H37)</f>
        <v>7.61263386973479</v>
      </c>
      <c r="I38" s="42" t="n">
        <f aca="false">SUM(I35:I37)</f>
        <v>7.81606744705706</v>
      </c>
      <c r="J38" s="42" t="n">
        <f aca="false">SUM(J35:J37)</f>
        <v>8.14093662480696</v>
      </c>
      <c r="K38" s="42" t="n">
        <f aca="false">SUM(K35:K37)</f>
        <v>8.26305067417906</v>
      </c>
    </row>
    <row r="39" customFormat="false" ht="15" hidden="false" customHeight="false" outlineLevel="0" collapsed="false">
      <c r="A39" s="12" t="s">
        <v>173</v>
      </c>
      <c r="B39" s="33" t="n">
        <f aca="false">-IFERROR(SUMIFS('2. Rent Roll'!$E$22:$E$41,'2. Rent Roll'!$F$22:$F$41,"&gt;="&amp;0,'2. Rent Roll'!$F$22:$F$41,"&lt;"&amp;1,'2. Rent Roll'!$F$22:$F$41,"&gt;0")*(1-$C$11)*$C$12/12*(1+$C$7)^1,0)</f>
        <v>-0</v>
      </c>
      <c r="C39" s="33" t="n">
        <f aca="false">-IFERROR(SUMIFS('2. Rent Roll'!$E$22:$E$41,'2. Rent Roll'!$F$22:$F$41,"&gt;="&amp;1,'2. Rent Roll'!$F$22:$F$41,"&lt;"&amp;2,'2. Rent Roll'!$F$22:$F$41,"&gt;0")*(1-$C$11)*$C$12/12*(1+$C$7)^2,0)</f>
        <v>-0</v>
      </c>
      <c r="D39" s="33" t="n">
        <f aca="false">-IFERROR(SUMIFS('2. Rent Roll'!$E$22:$E$41,'2. Rent Roll'!$F$22:$F$41,"&gt;="&amp;2,'2. Rent Roll'!$F$22:$F$41,"&lt;"&amp;3,'2. Rent Roll'!$F$22:$F$41,"&gt;0")*(1-$C$11)*$C$12/12*(1+$C$7)^3,0)</f>
        <v>-0.25096281</v>
      </c>
      <c r="E39" s="33" t="n">
        <f aca="false">-IFERROR(SUMIFS('2. Rent Roll'!$E$22:$E$41,'2. Rent Roll'!$F$22:$F$41,"&gt;="&amp;3,'2. Rent Roll'!$F$22:$F$41,"&lt;"&amp;4,'2. Rent Roll'!$F$22:$F$41,"&gt;0")*(1-$C$11)*$C$12/12*(1+$C$7)^4,0)</f>
        <v>-0</v>
      </c>
      <c r="F39" s="33" t="n">
        <f aca="false">-IFERROR(SUMIFS('2. Rent Roll'!$E$22:$E$41,'2. Rent Roll'!$F$22:$F$41,"&gt;="&amp;4,'2. Rent Roll'!$F$22:$F$41,"&lt;"&amp;5,'2. Rent Roll'!$F$22:$F$41,"&gt;0")*(1-$C$11)*$C$12/12*(1+$C$7)^5,0)</f>
        <v>-0.445995577608131</v>
      </c>
      <c r="G39" s="33" t="n">
        <f aca="false">-IFERROR(SUMIFS('2. Rent Roll'!$E$22:$E$41,'2. Rent Roll'!$F$22:$F$41,"&gt;="&amp;5,'2. Rent Roll'!$F$22:$F$41,"&lt;"&amp;6,'2. Rent Roll'!$F$22:$F$41,"&gt;0")*(1-$C$11)*$C$12/12*(1+$C$7)^6,0)</f>
        <v>-0</v>
      </c>
      <c r="H39" s="33" t="n">
        <f aca="false">-IFERROR(SUMIFS('2. Rent Roll'!$E$22:$E$41,'2. Rent Roll'!$F$22:$F$41,"&gt;="&amp;6,'2. Rent Roll'!$F$22:$F$41,"&lt;"&amp;7,'2. Rent Roll'!$F$22:$F$41,"&gt;0")*(1-$C$11)*$C$12/12*(1+$C$7)^7,0)</f>
        <v>-0.459475793941337</v>
      </c>
      <c r="I39" s="33" t="n">
        <f aca="false">-IFERROR(SUMIFS('2. Rent Roll'!$E$22:$E$41,'2. Rent Roll'!$F$22:$F$41,"&gt;="&amp;7,'2. Rent Roll'!$F$22:$F$41,"&lt;"&amp;8,'2. Rent Roll'!$F$22:$F$41,"&gt;0")*(1-$C$11)*$C$12/12*(1+$C$7)^8,0)</f>
        <v>-0.270358220782874</v>
      </c>
      <c r="J39" s="33" t="n">
        <f aca="false">-IFERROR(SUMIFS('2. Rent Roll'!$E$22:$E$41,'2. Rent Roll'!$F$22:$F$41,"&gt;="&amp;8,'2. Rent Roll'!$F$22:$F$41,"&lt;"&amp;9,'2. Rent Roll'!$F$22:$F$41,"&gt;0")*(1-$C$11)*$C$12/12*(1+$C$7)^9,0)</f>
        <v>-0.473363449813213</v>
      </c>
      <c r="K39" s="33" t="n">
        <f aca="false">-IFERROR(SUMIFS('2. Rent Roll'!$E$22:$E$41,'2. Rent Roll'!$F$22:$F$41,"&gt;="&amp;9,'2. Rent Roll'!$F$22:$F$41,"&lt;"&amp;10,'2. Rent Roll'!$F$22:$F$41,"&gt;0")*(1-$C$11)*$C$12/12*(1+$C$7)^10,0)</f>
        <v>-0</v>
      </c>
    </row>
    <row r="40" customFormat="false" ht="15" hidden="false" customHeight="false" outlineLevel="0" collapsed="false">
      <c r="A40" s="12" t="s">
        <v>174</v>
      </c>
      <c r="B40" s="33" t="n">
        <f aca="false">-IFERROR(SUMIFS('2. Rent Roll'!$E$22:$E$41,'2. Rent Roll'!$F$22:$F$41,"&gt;="&amp;0,'2. Rent Roll'!$F$22:$F$41,"&lt;"&amp;1,'2. Rent Roll'!$F$22:$F$41,"&gt;0")*$C$13/12*(1+$C$7)^1,0)-IFERROR(SUMIF('2. Rent Roll'!$C$22:$C$41,"Vacant",'2. Rent Roll'!$E$22:$E$41)*$C$9/12*(1+$C$7)^1,0)</f>
        <v>-1.050525</v>
      </c>
      <c r="C40" s="33" t="n">
        <f aca="false">-IFERROR(SUMIFS('2. Rent Roll'!$E$22:$E$41,'2. Rent Roll'!$F$22:$F$41,"&gt;="&amp;1,'2. Rent Roll'!$F$22:$F$41,"&lt;"&amp;2,'2. Rent Roll'!$F$22:$F$41,"&gt;0")*$C$13/12*(1+$C$7)^2,0)</f>
        <v>-0</v>
      </c>
      <c r="D40" s="33" t="n">
        <f aca="false">-IFERROR(SUMIFS('2. Rent Roll'!$E$22:$E$41,'2. Rent Roll'!$F$22:$F$41,"&gt;="&amp;2,'2. Rent Roll'!$F$22:$F$41,"&lt;"&amp;3,'2. Rent Roll'!$F$22:$F$41,"&gt;0")*$C$13/12*(1+$C$7)^3,0)</f>
        <v>-0.627407025</v>
      </c>
      <c r="E40" s="33" t="n">
        <f aca="false">-IFERROR(SUMIFS('2. Rent Roll'!$E$22:$E$41,'2. Rent Roll'!$F$22:$F$41,"&gt;="&amp;3,'2. Rent Roll'!$F$22:$F$41,"&lt;"&amp;4,'2. Rent Roll'!$F$22:$F$41,"&gt;0")*$C$13/12*(1+$C$7)^4,0)</f>
        <v>-0</v>
      </c>
      <c r="F40" s="33" t="n">
        <f aca="false">-IFERROR(SUMIFS('2. Rent Roll'!$E$22:$E$41,'2. Rent Roll'!$F$22:$F$41,"&gt;="&amp;4,'2. Rent Roll'!$F$22:$F$41,"&lt;"&amp;5,'2. Rent Roll'!$F$22:$F$41,"&gt;0")*$C$13/12*(1+$C$7)^5,0)</f>
        <v>-1.11498894402033</v>
      </c>
      <c r="G40" s="33" t="n">
        <f aca="false">-IFERROR(SUMIFS('2. Rent Roll'!$E$22:$E$41,'2. Rent Roll'!$F$22:$F$41,"&gt;="&amp;5,'2. Rent Roll'!$F$22:$F$41,"&lt;"&amp;6,'2. Rent Roll'!$F$22:$F$41,"&gt;0")*$C$13/12*(1+$C$7)^6,0)</f>
        <v>-0</v>
      </c>
      <c r="H40" s="33" t="n">
        <f aca="false">-IFERROR(SUMIFS('2. Rent Roll'!$E$22:$E$41,'2. Rent Roll'!$F$22:$F$41,"&gt;="&amp;6,'2. Rent Roll'!$F$22:$F$41,"&lt;"&amp;7,'2. Rent Roll'!$F$22:$F$41,"&gt;0")*$C$13/12*(1+$C$7)^7,0)</f>
        <v>-1.14868948485334</v>
      </c>
      <c r="I40" s="33" t="n">
        <f aca="false">-IFERROR(SUMIFS('2. Rent Roll'!$E$22:$E$41,'2. Rent Roll'!$F$22:$F$41,"&gt;="&amp;7,'2. Rent Roll'!$F$22:$F$41,"&lt;"&amp;8,'2. Rent Roll'!$F$22:$F$41,"&gt;0")*$C$13/12*(1+$C$7)^8,0)</f>
        <v>-0.675895551957184</v>
      </c>
      <c r="J40" s="33" t="n">
        <f aca="false">-IFERROR(SUMIFS('2. Rent Roll'!$E$22:$E$41,'2. Rent Roll'!$F$22:$F$41,"&gt;="&amp;8,'2. Rent Roll'!$F$22:$F$41,"&lt;"&amp;9,'2. Rent Roll'!$F$22:$F$41,"&gt;0")*$C$13/12*(1+$C$7)^9,0)</f>
        <v>-1.18340862453303</v>
      </c>
      <c r="K40" s="33" t="n">
        <f aca="false">-IFERROR(SUMIFS('2. Rent Roll'!$E$22:$E$41,'2. Rent Roll'!$F$22:$F$41,"&gt;="&amp;9,'2. Rent Roll'!$F$22:$F$41,"&lt;"&amp;10,'2. Rent Roll'!$F$22:$F$41,"&gt;0")*$C$13/12*(1+$C$7)^10,0)</f>
        <v>-0</v>
      </c>
    </row>
    <row r="41" customFormat="false" ht="15" hidden="false" customHeight="false" outlineLevel="0" collapsed="false">
      <c r="A41" s="12" t="s">
        <v>175</v>
      </c>
      <c r="B41" s="33" t="n">
        <f aca="false">-IFERROR(SUMIFS('2. Rent Roll'!$E$22:$E$41,'2. Rent Roll'!$F$22:$F$41,"&gt;="&amp;0,'2. Rent Roll'!$F$22:$F$41,"&lt;"&amp;1,'2. Rent Roll'!$F$22:$F$41,"&gt;0")*(1-$C$11)*$C$10*(1+$C$7)^1,0)-IFERROR(SUMIF('2. Rent Roll'!$C$22:$C$41,"Vacant",'2. Rent Roll'!$E$22:$E$41)*$C$10*(1+$C$7)^1,0)</f>
        <v>-0.168084</v>
      </c>
      <c r="C41" s="33" t="n">
        <f aca="false">-IFERROR(SUMIFS('2. Rent Roll'!$E$22:$E$41,'2. Rent Roll'!$F$22:$F$41,"&gt;="&amp;1,'2. Rent Roll'!$F$22:$F$41,"&lt;"&amp;2,'2. Rent Roll'!$F$22:$F$41,"&gt;0")*(1-$C$11)*$C$10*(1+$C$7)^2,0)</f>
        <v>-0</v>
      </c>
      <c r="D41" s="33" t="n">
        <f aca="false">-IFERROR(SUMIFS('2. Rent Roll'!$E$22:$E$41,'2. Rent Roll'!$F$22:$F$41,"&gt;="&amp;2,'2. Rent Roll'!$F$22:$F$41,"&lt;"&amp;3,'2. Rent Roll'!$F$22:$F$41,"&gt;0")*(1-$C$11)*$C$10*(1+$C$7)^3,0)</f>
        <v>-0.0401540496</v>
      </c>
      <c r="E41" s="33" t="n">
        <f aca="false">-IFERROR(SUMIFS('2. Rent Roll'!$E$22:$E$41,'2. Rent Roll'!$F$22:$F$41,"&gt;="&amp;3,'2. Rent Roll'!$F$22:$F$41,"&lt;"&amp;4,'2. Rent Roll'!$F$22:$F$41,"&gt;0")*(1-$C$11)*$C$10*(1+$C$7)^4,0)</f>
        <v>-0</v>
      </c>
      <c r="F41" s="33" t="n">
        <f aca="false">-IFERROR(SUMIFS('2. Rent Roll'!$E$22:$E$41,'2. Rent Roll'!$F$22:$F$41,"&gt;="&amp;4,'2. Rent Roll'!$F$22:$F$41,"&lt;"&amp;5,'2. Rent Roll'!$F$22:$F$41,"&gt;0")*(1-$C$11)*$C$10*(1+$C$7)^5,0)</f>
        <v>-0.071359292417301</v>
      </c>
      <c r="G41" s="33" t="n">
        <f aca="false">-IFERROR(SUMIFS('2. Rent Roll'!$E$22:$E$41,'2. Rent Roll'!$F$22:$F$41,"&gt;="&amp;5,'2. Rent Roll'!$F$22:$F$41,"&lt;"&amp;6,'2. Rent Roll'!$F$22:$F$41,"&gt;0")*(1-$C$11)*$C$10*(1+$C$7)^6,0)</f>
        <v>-0</v>
      </c>
      <c r="H41" s="33" t="n">
        <f aca="false">-IFERROR(SUMIFS('2. Rent Roll'!$E$22:$E$41,'2. Rent Roll'!$F$22:$F$41,"&gt;="&amp;6,'2. Rent Roll'!$F$22:$F$41,"&lt;"&amp;7,'2. Rent Roll'!$F$22:$F$41,"&gt;0")*(1-$C$11)*$C$10*(1+$C$7)^7,0)</f>
        <v>-0.0735161270306139</v>
      </c>
      <c r="I41" s="33" t="n">
        <f aca="false">-IFERROR(SUMIFS('2. Rent Roll'!$E$22:$E$41,'2. Rent Roll'!$F$22:$F$41,"&gt;="&amp;7,'2. Rent Roll'!$F$22:$F$41,"&lt;"&amp;8,'2. Rent Roll'!$F$22:$F$41,"&gt;0")*(1-$C$11)*$C$10*(1+$C$7)^8,0)</f>
        <v>-0.0432573153252598</v>
      </c>
      <c r="J41" s="33" t="n">
        <f aca="false">-IFERROR(SUMIFS('2. Rent Roll'!$E$22:$E$41,'2. Rent Roll'!$F$22:$F$41,"&gt;="&amp;8,'2. Rent Roll'!$F$22:$F$41,"&lt;"&amp;9,'2. Rent Roll'!$F$22:$F$41,"&gt;0")*(1-$C$11)*$C$10*(1+$C$7)^9,0)</f>
        <v>-0.0757381519701142</v>
      </c>
      <c r="K41" s="33" t="n">
        <f aca="false">-IFERROR(SUMIFS('2. Rent Roll'!$E$22:$E$41,'2. Rent Roll'!$F$22:$F$41,"&gt;="&amp;9,'2. Rent Roll'!$F$22:$F$41,"&lt;"&amp;10,'2. Rent Roll'!$F$22:$F$41,"&gt;0")*(1-$C$11)*$C$10*(1+$C$7)^10,0)</f>
        <v>-0</v>
      </c>
    </row>
    <row r="42" customFormat="false" ht="15" hidden="false" customHeight="false" outlineLevel="0" collapsed="false">
      <c r="A42" s="35" t="s">
        <v>176</v>
      </c>
      <c r="B42" s="42" t="n">
        <f aca="false">SUM(B38:B41)</f>
        <v>4.511566</v>
      </c>
      <c r="C42" s="42" t="n">
        <f aca="false">SUM(C38:C41)</f>
        <v>6.8017105</v>
      </c>
      <c r="D42" s="42" t="n">
        <f aca="false">SUM(D38:D41)</f>
        <v>5.9910549729</v>
      </c>
      <c r="E42" s="42" t="n">
        <f aca="false">SUM(E38:E41)</f>
        <v>6.9437725403625</v>
      </c>
      <c r="F42" s="42" t="n">
        <f aca="false">SUM(F38:F41)</f>
        <v>5.63278723978261</v>
      </c>
      <c r="G42" s="42" t="n">
        <f aca="false">SUM(G38:G41)</f>
        <v>7.3226580196358</v>
      </c>
      <c r="H42" s="42" t="n">
        <f aca="false">SUM(H38:H41)</f>
        <v>5.9309524639095</v>
      </c>
      <c r="I42" s="42" t="n">
        <f aca="false">SUM(I38:I41)</f>
        <v>6.82655635899174</v>
      </c>
      <c r="J42" s="42" t="n">
        <f aca="false">SUM(J38:J41)</f>
        <v>6.4084263984906</v>
      </c>
      <c r="K42" s="42" t="n">
        <f aca="false">SUM(K38:K41)</f>
        <v>8.26305067417906</v>
      </c>
    </row>
    <row r="43" customFormat="false" ht="15" hidden="false" customHeight="false" outlineLevel="0" collapsed="false">
      <c r="A43" s="12" t="s">
        <v>177</v>
      </c>
      <c r="B43" s="33" t="n">
        <f aca="false">$C$14*$C$15</f>
        <v>0.4488</v>
      </c>
      <c r="C43" s="33" t="n">
        <f aca="false">$C$14*$C$15</f>
        <v>0.4488</v>
      </c>
      <c r="D43" s="33" t="n">
        <f aca="false">$C$14*$C$15</f>
        <v>0.4488</v>
      </c>
      <c r="E43" s="33" t="n">
        <f aca="false">$C$14*$C$15</f>
        <v>0.4488</v>
      </c>
      <c r="F43" s="33" t="n">
        <f aca="false">$C$14*$C$15</f>
        <v>0.4488</v>
      </c>
      <c r="G43" s="33" t="n">
        <f aca="false">$C$14*$C$15</f>
        <v>0.4488</v>
      </c>
      <c r="H43" s="33" t="n">
        <f aca="false">$C$14*$C$15</f>
        <v>0.4488</v>
      </c>
      <c r="I43" s="33" t="n">
        <f aca="false">$C$14*$C$15</f>
        <v>0.4488</v>
      </c>
      <c r="J43" s="33" t="n">
        <f aca="false">$C$14*$C$15</f>
        <v>0.4488</v>
      </c>
      <c r="K43" s="33" t="n">
        <f aca="false">$C$14*$C$15</f>
        <v>0.4488</v>
      </c>
    </row>
    <row r="44" customFormat="false" ht="15" hidden="false" customHeight="false" outlineLevel="0" collapsed="false">
      <c r="A44" s="12" t="s">
        <v>178</v>
      </c>
      <c r="B44" s="33" t="n">
        <f aca="false">-$C$14</f>
        <v>-0.51</v>
      </c>
      <c r="C44" s="33" t="n">
        <f aca="false">-$C$14</f>
        <v>-0.51</v>
      </c>
      <c r="D44" s="33" t="n">
        <f aca="false">-$C$14</f>
        <v>-0.51</v>
      </c>
      <c r="E44" s="33" t="n">
        <f aca="false">-$C$14</f>
        <v>-0.51</v>
      </c>
      <c r="F44" s="33" t="n">
        <f aca="false">-$C$14</f>
        <v>-0.51</v>
      </c>
      <c r="G44" s="33" t="n">
        <f aca="false">-$C$14</f>
        <v>-0.51</v>
      </c>
      <c r="H44" s="33" t="n">
        <f aca="false">-$C$14</f>
        <v>-0.51</v>
      </c>
      <c r="I44" s="33" t="n">
        <f aca="false">-$C$14</f>
        <v>-0.51</v>
      </c>
      <c r="J44" s="33" t="n">
        <f aca="false">-$C$14</f>
        <v>-0.51</v>
      </c>
      <c r="K44" s="33" t="n">
        <f aca="false">-$C$14</f>
        <v>-0.51</v>
      </c>
    </row>
    <row r="45" customFormat="false" ht="15" hidden="false" customHeight="false" outlineLevel="0" collapsed="false">
      <c r="A45" s="12" t="s">
        <v>179</v>
      </c>
      <c r="B45" s="33" t="n">
        <f aca="false">-$C$16</f>
        <v>-0.1</v>
      </c>
      <c r="C45" s="33" t="n">
        <f aca="false">-$C$16</f>
        <v>-0.1</v>
      </c>
      <c r="D45" s="33" t="n">
        <f aca="false">-$C$16</f>
        <v>-0.1</v>
      </c>
      <c r="E45" s="33" t="n">
        <f aca="false">-$C$16</f>
        <v>-0.1</v>
      </c>
      <c r="F45" s="33" t="n">
        <f aca="false">-$C$16</f>
        <v>-0.1</v>
      </c>
      <c r="G45" s="33" t="n">
        <f aca="false">-$C$16</f>
        <v>-0.1</v>
      </c>
      <c r="H45" s="33" t="n">
        <f aca="false">-$C$16</f>
        <v>-0.1</v>
      </c>
      <c r="I45" s="33" t="n">
        <f aca="false">-$C$16</f>
        <v>-0.1</v>
      </c>
      <c r="J45" s="33" t="n">
        <f aca="false">-$C$16</f>
        <v>-0.1</v>
      </c>
      <c r="K45" s="33" t="n">
        <f aca="false">-$C$16</f>
        <v>-0.1</v>
      </c>
    </row>
    <row r="46" customFormat="false" ht="15" hidden="false" customHeight="false" outlineLevel="0" collapsed="false">
      <c r="A46" s="35" t="s">
        <v>180</v>
      </c>
      <c r="B46" s="42" t="n">
        <f aca="false">SUM(B42:B45)</f>
        <v>4.350366</v>
      </c>
      <c r="C46" s="42" t="n">
        <f aca="false">SUM(C42:C45)</f>
        <v>6.6405105</v>
      </c>
      <c r="D46" s="42" t="n">
        <f aca="false">SUM(D42:D45)</f>
        <v>5.8298549729</v>
      </c>
      <c r="E46" s="42" t="n">
        <f aca="false">SUM(E42:E45)</f>
        <v>6.7825725403625</v>
      </c>
      <c r="F46" s="42" t="n">
        <f aca="false">SUM(F42:F45)</f>
        <v>5.47158723978261</v>
      </c>
      <c r="G46" s="42" t="n">
        <f aca="false">SUM(G42:G45)</f>
        <v>7.1614580196358</v>
      </c>
      <c r="H46" s="42" t="n">
        <f aca="false">SUM(H42:H45)</f>
        <v>5.7697524639095</v>
      </c>
      <c r="I46" s="42" t="n">
        <f aca="false">SUM(I42:I45)</f>
        <v>6.66535635899174</v>
      </c>
      <c r="J46" s="42" t="n">
        <f aca="false">SUM(J42:J45)</f>
        <v>6.2472263984906</v>
      </c>
      <c r="K46" s="42" t="n">
        <f aca="false">SUM(K42:K45)</f>
        <v>8.10185067417906</v>
      </c>
    </row>
    <row r="47" customFormat="false" ht="15" hidden="false" customHeight="false" outlineLevel="0" collapsed="false">
      <c r="A47" s="35" t="s">
        <v>181</v>
      </c>
      <c r="B47" s="42" t="n">
        <f aca="false">B38+SUM(B43:B45)</f>
        <v>5.568975</v>
      </c>
      <c r="C47" s="42" t="n">
        <f aca="false">C38+SUM(C43:C45)</f>
        <v>6.6405105</v>
      </c>
      <c r="D47" s="42" t="n">
        <f aca="false">D38+SUM(D43:D45)</f>
        <v>6.7483788575</v>
      </c>
      <c r="E47" s="42" t="n">
        <f aca="false">E38+SUM(E43:E45)</f>
        <v>6.7825725403625</v>
      </c>
      <c r="F47" s="42" t="n">
        <f aca="false">F38+SUM(F43:F45)</f>
        <v>7.10393105382837</v>
      </c>
      <c r="G47" s="42" t="n">
        <f aca="false">G38+SUM(G43:G45)</f>
        <v>7.1614580196358</v>
      </c>
      <c r="H47" s="42" t="n">
        <f aca="false">H38+SUM(H43:H45)</f>
        <v>7.45143386973479</v>
      </c>
      <c r="I47" s="42" t="n">
        <f aca="false">I38+SUM(I43:I45)</f>
        <v>7.65486744705706</v>
      </c>
      <c r="J47" s="42" t="n">
        <f aca="false">J38+SUM(J43:J45)</f>
        <v>7.97973662480696</v>
      </c>
      <c r="K47" s="42" t="n">
        <f aca="false">K38+SUM(K43:K45)</f>
        <v>8.10185067417906</v>
      </c>
    </row>
    <row r="48" customFormat="false" ht="15" hidden="false" customHeight="false" outlineLevel="0" collapsed="false">
      <c r="A48" s="12" t="s">
        <v>182</v>
      </c>
      <c r="B48" s="33" t="n">
        <f aca="false">-IFERROR(SUMIF($C$25:$C$30,1,$D$25:$D$30),0)</f>
        <v>-0</v>
      </c>
      <c r="C48" s="33" t="n">
        <f aca="false">-IFERROR(SUMIF($C$25:$C$30,2,$D$25:$D$30),0)</f>
        <v>-0.25</v>
      </c>
      <c r="D48" s="33" t="n">
        <f aca="false">-IFERROR(SUMIF($C$25:$C$30,3,$D$25:$D$30),0)</f>
        <v>-0.4</v>
      </c>
      <c r="E48" s="33" t="n">
        <f aca="false">-IFERROR(SUMIF($C$25:$C$30,4,$D$25:$D$30),0)</f>
        <v>-0</v>
      </c>
      <c r="F48" s="33" t="n">
        <f aca="false">-IFERROR(SUMIF($C$25:$C$30,5,$D$25:$D$30),0)</f>
        <v>-0</v>
      </c>
      <c r="G48" s="33" t="n">
        <f aca="false">-IFERROR(SUMIF($C$25:$C$30,6,$D$25:$D$30),0)</f>
        <v>-0</v>
      </c>
      <c r="H48" s="33" t="n">
        <f aca="false">-IFERROR(SUMIF($C$25:$C$30,7,$D$25:$D$30),0)</f>
        <v>-0</v>
      </c>
      <c r="I48" s="33" t="n">
        <f aca="false">-IFERROR(SUMIF($C$25:$C$30,8,$D$25:$D$30),0)</f>
        <v>-0</v>
      </c>
      <c r="J48" s="33" t="n">
        <f aca="false">-IFERROR(SUMIF($C$25:$C$30,9,$D$25:$D$30),0)</f>
        <v>-0</v>
      </c>
      <c r="K48" s="33" t="n">
        <f aca="false">-IFERROR(SUMIF($C$25:$C$30,10,$D$25:$D$30),0)</f>
        <v>-0</v>
      </c>
    </row>
    <row r="49" customFormat="false" ht="15" hidden="false" customHeight="false" outlineLevel="0" collapsed="false">
      <c r="A49" s="12" t="s">
        <v>183</v>
      </c>
      <c r="B49" s="33" t="n">
        <f aca="false">-$C$19*$C$20</f>
        <v>-0</v>
      </c>
      <c r="C49" s="33" t="n">
        <f aca="false">-$C$19*$C$20</f>
        <v>-0</v>
      </c>
      <c r="D49" s="33" t="n">
        <f aca="false">-$C$19*$C$20</f>
        <v>-0</v>
      </c>
      <c r="E49" s="33" t="n">
        <f aca="false">-$C$19*$C$20</f>
        <v>-0</v>
      </c>
      <c r="F49" s="33" t="n">
        <f aca="false">-$C$19*$C$20</f>
        <v>-0</v>
      </c>
      <c r="G49" s="33" t="n">
        <f aca="false">-$C$19*$C$20</f>
        <v>-0</v>
      </c>
      <c r="H49" s="33" t="n">
        <f aca="false">-$C$19*$C$20</f>
        <v>-0</v>
      </c>
      <c r="I49" s="33" t="n">
        <f aca="false">-$C$19*$C$20</f>
        <v>-0</v>
      </c>
      <c r="J49" s="33" t="n">
        <f aca="false">-$C$19*$C$20</f>
        <v>-0</v>
      </c>
      <c r="K49" s="33" t="n">
        <f aca="false">-$C$19*$C$20</f>
        <v>-0</v>
      </c>
    </row>
    <row r="50" customFormat="false" ht="15" hidden="false" customHeight="false" outlineLevel="0" collapsed="false">
      <c r="A50" s="35" t="s">
        <v>184</v>
      </c>
      <c r="B50" s="42" t="n">
        <f aca="false">B46+B48+B49</f>
        <v>4.350366</v>
      </c>
      <c r="C50" s="42" t="n">
        <f aca="false">C46+C48+C49</f>
        <v>6.3905105</v>
      </c>
      <c r="D50" s="42" t="n">
        <f aca="false">D46+D48+D49</f>
        <v>5.4298549729</v>
      </c>
      <c r="E50" s="42" t="n">
        <f aca="false">E46+E48+E49</f>
        <v>6.7825725403625</v>
      </c>
      <c r="F50" s="42" t="n">
        <f aca="false">F46+F48+F49</f>
        <v>5.47158723978261</v>
      </c>
      <c r="G50" s="42" t="n">
        <f aca="false">G46+G48+G49</f>
        <v>7.1614580196358</v>
      </c>
      <c r="H50" s="42" t="n">
        <f aca="false">H46+H48+H49</f>
        <v>5.7697524639095</v>
      </c>
      <c r="I50" s="42" t="n">
        <f aca="false">I46+I48+I49</f>
        <v>6.66535635899174</v>
      </c>
      <c r="J50" s="42" t="n">
        <f aca="false">J46+J48+J49</f>
        <v>6.2472263984906</v>
      </c>
      <c r="K50" s="42" t="n">
        <f aca="false">K46+K48+K49</f>
        <v>8.10185067417906</v>
      </c>
    </row>
    <row r="52" customFormat="false" ht="15" hidden="false" customHeight="false" outlineLevel="0" collapsed="false">
      <c r="A52" s="20" t="s">
        <v>185</v>
      </c>
    </row>
    <row r="53" customFormat="false" ht="15" hidden="false" customHeight="false" outlineLevel="0" collapsed="false">
      <c r="A53" s="5" t="s">
        <v>186</v>
      </c>
    </row>
    <row r="54" customFormat="false" ht="15" hidden="false" customHeight="false" outlineLevel="0" collapsed="false">
      <c r="A54" s="11" t="s">
        <v>31</v>
      </c>
      <c r="B54" s="11" t="s">
        <v>159</v>
      </c>
      <c r="C54" s="11" t="s">
        <v>160</v>
      </c>
      <c r="D54" s="11" t="s">
        <v>161</v>
      </c>
      <c r="E54" s="11" t="s">
        <v>162</v>
      </c>
      <c r="F54" s="11" t="s">
        <v>163</v>
      </c>
      <c r="G54" s="11" t="s">
        <v>164</v>
      </c>
      <c r="H54" s="11" t="s">
        <v>165</v>
      </c>
      <c r="I54" s="11" t="s">
        <v>166</v>
      </c>
      <c r="J54" s="11" t="s">
        <v>167</v>
      </c>
      <c r="K54" s="11" t="s">
        <v>168</v>
      </c>
    </row>
    <row r="55" customFormat="false" ht="15" hidden="false" customHeight="false" outlineLevel="0" collapsed="false">
      <c r="A55" s="12" t="s">
        <v>187</v>
      </c>
      <c r="B55" s="33" t="n">
        <f aca="false">IFERROR(B47/$C$17,"")</f>
        <v>101.254090909091</v>
      </c>
      <c r="C55" s="33" t="n">
        <f aca="false">IFERROR(C47/$C$17,"")</f>
        <v>120.736554545455</v>
      </c>
      <c r="D55" s="33" t="n">
        <f aca="false">IFERROR(D47/$C$17,"")</f>
        <v>122.697797409091</v>
      </c>
      <c r="E55" s="33" t="n">
        <f aca="false">IFERROR(E47/$C$17,"")</f>
        <v>123.319500733864</v>
      </c>
      <c r="F55" s="33" t="n">
        <f aca="false">IFERROR(F47/$C$17,"")</f>
        <v>129.162382796879</v>
      </c>
      <c r="G55" s="33" t="n">
        <f aca="false">IFERROR(G47/$C$17,"")</f>
        <v>130.208327629742</v>
      </c>
      <c r="H55" s="33" t="n">
        <f aca="false">IFERROR(H47/$C$17,"")</f>
        <v>135.48061581336</v>
      </c>
      <c r="I55" s="33" t="n">
        <f aca="false">IFERROR(I47/$C$17,"")</f>
        <v>139.17940812831</v>
      </c>
      <c r="J55" s="33" t="n">
        <f aca="false">IFERROR(J47/$C$17,"")</f>
        <v>145.086120451036</v>
      </c>
      <c r="K55" s="33" t="n">
        <f aca="false">IFERROR(K47/$C$17,"")</f>
        <v>147.306375894165</v>
      </c>
    </row>
    <row r="56" customFormat="false" ht="15" hidden="false" customHeight="false" outlineLevel="0" collapsed="false">
      <c r="A56" s="12" t="s">
        <v>188</v>
      </c>
      <c r="B56" s="33" t="n">
        <f aca="false">IFERROR(B55*(1-$C$18),"")</f>
        <v>92.5462390909091</v>
      </c>
      <c r="C56" s="33" t="n">
        <f aca="false">IFERROR(C55*(1-$C$18),"")</f>
        <v>110.353210854545</v>
      </c>
      <c r="D56" s="33" t="n">
        <f aca="false">IFERROR(D55*(1-$C$18),"")</f>
        <v>112.145786831909</v>
      </c>
      <c r="E56" s="33" t="n">
        <f aca="false">IFERROR(E55*(1-$C$18),"")</f>
        <v>112.714023670751</v>
      </c>
      <c r="F56" s="33" t="n">
        <f aca="false">IFERROR(F55*(1-$C$18),"")</f>
        <v>118.054417876348</v>
      </c>
      <c r="G56" s="33" t="n">
        <f aca="false">IFERROR(G55*(1-$C$18),"")</f>
        <v>119.010411453584</v>
      </c>
      <c r="H56" s="33" t="n">
        <f aca="false">IFERROR(H55*(1-$C$18),"")</f>
        <v>123.829282853411</v>
      </c>
      <c r="I56" s="33" t="n">
        <f aca="false">IFERROR(I55*(1-$C$18),"")</f>
        <v>127.209979029275</v>
      </c>
      <c r="J56" s="33" t="n">
        <f aca="false">IFERROR(J55*(1-$C$18),"")</f>
        <v>132.608714092247</v>
      </c>
      <c r="K56" s="33" t="n">
        <f aca="false">IFERROR(K55*(1-$C$18),"")</f>
        <v>134.638027567267</v>
      </c>
    </row>
    <row r="57" customFormat="false" ht="15" hidden="false" customHeight="false" outlineLevel="0" collapsed="false">
      <c r="A57" s="12" t="s">
        <v>189</v>
      </c>
      <c r="B57" s="12" t="str">
        <f aca="false">IF(1&lt;=$C$6,"yes","")</f>
        <v>yes</v>
      </c>
      <c r="C57" s="12" t="str">
        <f aca="false">IF(2&lt;=$C$6,"yes","")</f>
        <v>yes</v>
      </c>
      <c r="D57" s="12" t="str">
        <f aca="false">IF(3&lt;=$C$6,"yes","")</f>
        <v>yes</v>
      </c>
      <c r="E57" s="12" t="str">
        <f aca="false">IF(4&lt;=$C$6,"yes","")</f>
        <v>yes</v>
      </c>
      <c r="F57" s="12" t="str">
        <f aca="false">IF(5&lt;=$C$6,"yes","")</f>
        <v>yes</v>
      </c>
      <c r="G57" s="12" t="str">
        <f aca="false">IF(6&lt;=$C$6,"yes","")</f>
        <v/>
      </c>
      <c r="H57" s="12" t="str">
        <f aca="false">IF(7&lt;=$C$6,"yes","")</f>
        <v/>
      </c>
      <c r="I57" s="12" t="str">
        <f aca="false">IF(8&lt;=$C$6,"yes","")</f>
        <v/>
      </c>
      <c r="J57" s="12" t="str">
        <f aca="false">IF(9&lt;=$C$6,"yes","")</f>
        <v/>
      </c>
      <c r="K57" s="12" t="str">
        <f aca="false">IF(10&lt;=$C$6,"yes","")</f>
        <v/>
      </c>
    </row>
    <row r="59" customFormat="false" ht="15" hidden="false" customHeight="false" outlineLevel="0" collapsed="false">
      <c r="A59" s="5" t="s">
        <v>190</v>
      </c>
    </row>
    <row r="60" customFormat="false" ht="15" hidden="false" customHeight="false" outlineLevel="0" collapsed="false">
      <c r="A60" s="11" t="s">
        <v>69</v>
      </c>
      <c r="B60" s="11" t="s">
        <v>191</v>
      </c>
      <c r="C60" s="11" t="s">
        <v>159</v>
      </c>
      <c r="D60" s="11" t="s">
        <v>160</v>
      </c>
      <c r="E60" s="11" t="s">
        <v>161</v>
      </c>
      <c r="F60" s="11" t="s">
        <v>162</v>
      </c>
      <c r="G60" s="11" t="s">
        <v>163</v>
      </c>
      <c r="H60" s="11" t="s">
        <v>164</v>
      </c>
      <c r="I60" s="11" t="s">
        <v>165</v>
      </c>
      <c r="J60" s="11" t="s">
        <v>166</v>
      </c>
      <c r="K60" s="11" t="s">
        <v>167</v>
      </c>
      <c r="L60" s="11" t="s">
        <v>168</v>
      </c>
    </row>
    <row r="61" customFormat="false" ht="15" hidden="false" customHeight="false" outlineLevel="0" collapsed="false">
      <c r="A61" s="35" t="s">
        <v>192</v>
      </c>
      <c r="B61" s="42" t="n">
        <f aca="false">-$C$5</f>
        <v>-100</v>
      </c>
      <c r="C61" s="42" t="n">
        <f aca="false">IF(1&gt;$C$6,0,B50+IF(1=$C$6,B56,0))</f>
        <v>4.350366</v>
      </c>
      <c r="D61" s="42" t="n">
        <f aca="false">IF(2&gt;$C$6,0,C50+IF(2=$C$6,C56,0))</f>
        <v>6.3905105</v>
      </c>
      <c r="E61" s="42" t="n">
        <f aca="false">IF(3&gt;$C$6,0,D50+IF(3=$C$6,D56,0))</f>
        <v>5.4298549729</v>
      </c>
      <c r="F61" s="42" t="n">
        <f aca="false">IF(4&gt;$C$6,0,E50+IF(4=$C$6,E56,0))</f>
        <v>6.7825725403625</v>
      </c>
      <c r="G61" s="42" t="n">
        <f aca="false">IF(5&gt;$C$6,0,F50+IF(5=$C$6,F56,0))</f>
        <v>123.52600511613</v>
      </c>
      <c r="H61" s="42" t="n">
        <f aca="false">IF(6&gt;$C$6,0,G50+IF(6=$C$6,G56,0))</f>
        <v>0</v>
      </c>
      <c r="I61" s="42" t="n">
        <f aca="false">IF(7&gt;$C$6,0,H50+IF(7=$C$6,H56,0))</f>
        <v>0</v>
      </c>
      <c r="J61" s="42" t="n">
        <f aca="false">IF(8&gt;$C$6,0,I50+IF(8=$C$6,I56,0))</f>
        <v>0</v>
      </c>
      <c r="K61" s="42" t="n">
        <f aca="false">IF(9&gt;$C$6,0,J50+IF(9=$C$6,J56,0))</f>
        <v>0</v>
      </c>
      <c r="L61" s="42" t="n">
        <f aca="false">IF(10&gt;$C$6,0,K50+IF(10=$C$6,K56,0))</f>
        <v>0</v>
      </c>
    </row>
    <row r="63" customFormat="false" ht="15" hidden="false" customHeight="false" outlineLevel="0" collapsed="false">
      <c r="A63" s="6" t="s">
        <v>193</v>
      </c>
      <c r="C63" s="43" t="n">
        <f aca="false">IFERROR(IRR(B61:M61),"")</f>
        <v>0.086746249672427</v>
      </c>
    </row>
    <row r="64" customFormat="false" ht="15" hidden="false" customHeight="false" outlineLevel="0" collapsed="false">
      <c r="A64" s="10" t="s">
        <v>194</v>
      </c>
      <c r="C64" s="44" t="n">
        <f aca="false">$C$21</f>
        <v>0.07</v>
      </c>
    </row>
    <row r="65" customFormat="false" ht="15" hidden="false" customHeight="false" outlineLevel="0" collapsed="false">
      <c r="A65" s="10" t="s">
        <v>195</v>
      </c>
      <c r="C65" s="45" t="n">
        <f aca="false">IFERROR(ROUND((C63-C64)*10000,0),"")</f>
        <v>167</v>
      </c>
    </row>
    <row r="66" customFormat="false" ht="15" hidden="false" customHeight="false" outlineLevel="0" collapsed="false">
      <c r="A66" s="6" t="s">
        <v>196</v>
      </c>
      <c r="C66" s="6" t="str">
        <f aca="false">IF(C63="","",IF(C63&gt;C64,"Clears the hurdle","Below the hurdle"))</f>
        <v>Clears the hurdle</v>
      </c>
    </row>
    <row r="68" customFormat="false" ht="15" hidden="false" customHeight="false" outlineLevel="0" collapsed="false">
      <c r="A68" s="20" t="s">
        <v>197</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4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50"/>
    <col collapsed="false" customWidth="true" hidden="false" outlineLevel="0" max="6" min="2" style="0" width="16"/>
    <col collapsed="false" customWidth="true" hidden="false" outlineLevel="0" max="7" min="7" style="0" width="38"/>
  </cols>
  <sheetData>
    <row r="1" customFormat="false" ht="17.35" hidden="false" customHeight="false" outlineLevel="0" collapsed="false">
      <c r="A1" s="1" t="s">
        <v>198</v>
      </c>
    </row>
    <row r="2" customFormat="false" ht="15" hidden="false" customHeight="false" outlineLevel="0" collapsed="false">
      <c r="A2" s="2" t="s">
        <v>199</v>
      </c>
    </row>
    <row r="4" customFormat="false" ht="15" hidden="false" customHeight="true" outlineLevel="0" collapsed="false">
      <c r="A4" s="8" t="s">
        <v>200</v>
      </c>
      <c r="B4" s="8"/>
      <c r="C4" s="8"/>
      <c r="D4" s="8"/>
      <c r="E4" s="8"/>
      <c r="F4" s="8"/>
      <c r="G4" s="8"/>
      <c r="H4" s="8"/>
    </row>
    <row r="5" customFormat="false" ht="15" hidden="false" customHeight="false" outlineLevel="0" collapsed="false">
      <c r="A5" s="8"/>
      <c r="B5" s="8"/>
      <c r="C5" s="8"/>
      <c r="D5" s="8"/>
      <c r="E5" s="8"/>
      <c r="F5" s="8"/>
      <c r="G5" s="8"/>
      <c r="H5" s="8"/>
    </row>
    <row r="6" customFormat="false" ht="15" hidden="false" customHeight="false" outlineLevel="0" collapsed="false">
      <c r="A6" s="8"/>
      <c r="B6" s="8"/>
      <c r="C6" s="8"/>
      <c r="D6" s="8"/>
      <c r="E6" s="8"/>
      <c r="F6" s="8"/>
      <c r="G6" s="8"/>
      <c r="H6" s="8"/>
    </row>
    <row r="9" customFormat="false" ht="15" hidden="false" customHeight="false" outlineLevel="0" collapsed="false">
      <c r="A9" s="5" t="s">
        <v>201</v>
      </c>
    </row>
    <row r="10" customFormat="false" ht="23.85" hidden="false" customHeight="false" outlineLevel="0" collapsed="false">
      <c r="A10" s="11" t="s">
        <v>146</v>
      </c>
      <c r="B10" s="11" t="s">
        <v>202</v>
      </c>
      <c r="C10" s="11" t="s">
        <v>203</v>
      </c>
      <c r="D10" s="11" t="s">
        <v>196</v>
      </c>
    </row>
    <row r="11" customFormat="false" ht="15" hidden="false" customHeight="false" outlineLevel="0" collapsed="false">
      <c r="A11" s="46" t="n">
        <f aca="false">'3. Projection'!$C$17+-0.005</f>
        <v>0.05</v>
      </c>
      <c r="B11" s="47"/>
      <c r="C11" s="48" t="str">
        <f aca="false">IF(B11="","",ROUND((B11-'3. Projection'!$C$21)*10000,0))</f>
        <v/>
      </c>
      <c r="D11" s="35" t="str">
        <f aca="false">IF(B11="","",IF(B11&gt;'3. Projection'!$C$21,"clears","below"))</f>
        <v/>
      </c>
    </row>
    <row r="12" customFormat="false" ht="15" hidden="false" customHeight="false" outlineLevel="0" collapsed="false">
      <c r="A12" s="46" t="n">
        <f aca="false">'3. Projection'!$C$17+-0.0025</f>
        <v>0.0525</v>
      </c>
      <c r="B12" s="47"/>
      <c r="C12" s="48" t="str">
        <f aca="false">IF(B12="","",ROUND((B12-'3. Projection'!$C$21)*10000,0))</f>
        <v/>
      </c>
      <c r="D12" s="35" t="str">
        <f aca="false">IF(B12="","",IF(B12&gt;'3. Projection'!$C$21,"clears","below"))</f>
        <v/>
      </c>
    </row>
    <row r="13" customFormat="false" ht="15" hidden="false" customHeight="false" outlineLevel="0" collapsed="false">
      <c r="A13" s="46" t="n">
        <f aca="false">'3. Projection'!$C$17+0</f>
        <v>0.055</v>
      </c>
      <c r="B13" s="49" t="n">
        <f aca="false">'3. Projection'!C63</f>
        <v>0.086746249672427</v>
      </c>
      <c r="C13" s="48" t="n">
        <f aca="false">IF(B13="","",ROUND((B13-'3. Projection'!$C$21)*10000,0))</f>
        <v>167</v>
      </c>
      <c r="D13" s="35" t="str">
        <f aca="false">IF(B13="","",IF(B13&gt;'3. Projection'!$C$21,"clears","below"))</f>
        <v>clears</v>
      </c>
    </row>
    <row r="14" customFormat="false" ht="15" hidden="false" customHeight="false" outlineLevel="0" collapsed="false">
      <c r="A14" s="46" t="n">
        <f aca="false">'3. Projection'!$C$17+0.0025</f>
        <v>0.0575</v>
      </c>
      <c r="B14" s="47"/>
      <c r="C14" s="48" t="str">
        <f aca="false">IF(B14="","",ROUND((B14-'3. Projection'!$C$21)*10000,0))</f>
        <v/>
      </c>
      <c r="D14" s="35" t="str">
        <f aca="false">IF(B14="","",IF(B14&gt;'3. Projection'!$C$21,"clears","below"))</f>
        <v/>
      </c>
    </row>
    <row r="15" customFormat="false" ht="15" hidden="false" customHeight="false" outlineLevel="0" collapsed="false">
      <c r="A15" s="46" t="n">
        <f aca="false">'3. Projection'!$C$17+0.005</f>
        <v>0.06</v>
      </c>
      <c r="B15" s="47"/>
      <c r="C15" s="48" t="str">
        <f aca="false">IF(B15="","",ROUND((B15-'3. Projection'!$C$21)*10000,0))</f>
        <v/>
      </c>
      <c r="D15" s="35" t="str">
        <f aca="false">IF(B15="","",IF(B15&gt;'3. Projection'!$C$21,"clears","below"))</f>
        <v/>
      </c>
    </row>
    <row r="16" customFormat="false" ht="15" hidden="false" customHeight="false" outlineLevel="0" collapsed="false">
      <c r="A16" s="46" t="n">
        <f aca="false">'3. Projection'!$C$17+0.0075</f>
        <v>0.0625</v>
      </c>
      <c r="B16" s="47"/>
      <c r="C16" s="48" t="str">
        <f aca="false">IF(B16="","",ROUND((B16-'3. Projection'!$C$21)*10000,0))</f>
        <v/>
      </c>
      <c r="D16" s="35" t="str">
        <f aca="false">IF(B16="","",IF(B16&gt;'3. Projection'!$C$21,"clears","below"))</f>
        <v/>
      </c>
    </row>
    <row r="17" customFormat="false" ht="15" hidden="false" customHeight="false" outlineLevel="0" collapsed="false">
      <c r="A17" s="46" t="n">
        <f aca="false">'3. Projection'!$C$17+0.01</f>
        <v>0.065</v>
      </c>
      <c r="B17" s="47"/>
      <c r="C17" s="48" t="str">
        <f aca="false">IF(B17="","",ROUND((B17-'3. Projection'!$C$21)*10000,0))</f>
        <v/>
      </c>
      <c r="D17" s="35" t="str">
        <f aca="false">IF(B17="","",IF(B17&gt;'3. Projection'!$C$21,"clears","below"))</f>
        <v/>
      </c>
    </row>
    <row r="19" customFormat="false" ht="15" hidden="false" customHeight="true" outlineLevel="0" collapsed="false">
      <c r="A19" s="8" t="s">
        <v>204</v>
      </c>
      <c r="B19" s="8"/>
      <c r="C19" s="8"/>
      <c r="D19" s="8"/>
      <c r="E19" s="8"/>
      <c r="F19" s="8"/>
      <c r="G19" s="8"/>
    </row>
    <row r="20" customFormat="false" ht="15" hidden="false" customHeight="false" outlineLevel="0" collapsed="false">
      <c r="A20" s="8"/>
      <c r="B20" s="8"/>
      <c r="C20" s="8"/>
      <c r="D20" s="8"/>
      <c r="E20" s="8"/>
      <c r="F20" s="8"/>
      <c r="G20" s="8"/>
    </row>
    <row r="21" customFormat="false" ht="15" hidden="false" customHeight="false" outlineLevel="0" collapsed="false">
      <c r="A21" s="8"/>
      <c r="B21" s="8"/>
      <c r="C21" s="8"/>
      <c r="D21" s="8"/>
      <c r="E21" s="8"/>
      <c r="F21" s="8"/>
      <c r="G21" s="8"/>
    </row>
    <row r="23" customFormat="false" ht="15" hidden="false" customHeight="false" outlineLevel="0" collapsed="false">
      <c r="A23" s="5" t="s">
        <v>205</v>
      </c>
    </row>
    <row r="24" customFormat="false" ht="15" hidden="false" customHeight="false" outlineLevel="0" collapsed="false">
      <c r="A24" s="11" t="s">
        <v>206</v>
      </c>
      <c r="B24" s="11" t="s">
        <v>207</v>
      </c>
      <c r="C24" s="11" t="s">
        <v>208</v>
      </c>
      <c r="D24" s="11" t="s">
        <v>209</v>
      </c>
    </row>
    <row r="25" customFormat="false" ht="15" hidden="false" customHeight="false" outlineLevel="0" collapsed="false">
      <c r="A25" s="12" t="s">
        <v>210</v>
      </c>
      <c r="B25" s="50" t="n">
        <f aca="false">'3. Projection'!$C$8</f>
        <v>9</v>
      </c>
      <c r="C25" s="51" t="n">
        <f aca="false">B25+6</f>
        <v>15</v>
      </c>
      <c r="D25" s="51" t="n">
        <f aca="false">MAX(0,B25-3)</f>
        <v>6</v>
      </c>
    </row>
    <row r="26" customFormat="false" ht="15" hidden="false" customHeight="false" outlineLevel="0" collapsed="false">
      <c r="A26" s="12" t="s">
        <v>142</v>
      </c>
      <c r="B26" s="50" t="n">
        <f aca="false">'3. Projection'!$C$13</f>
        <v>9</v>
      </c>
      <c r="C26" s="51" t="n">
        <f aca="false">B26+3</f>
        <v>12</v>
      </c>
      <c r="D26" s="51" t="n">
        <f aca="false">MAX(0,B26-3)</f>
        <v>6</v>
      </c>
    </row>
    <row r="27" customFormat="false" ht="15" hidden="false" customHeight="false" outlineLevel="0" collapsed="false">
      <c r="A27" s="12" t="s">
        <v>211</v>
      </c>
      <c r="B27" s="14" t="n">
        <f aca="false">'3. Projection'!$C$7</f>
        <v>0.015</v>
      </c>
      <c r="C27" s="29" t="n">
        <f aca="false">B27-0.01</f>
        <v>0.005</v>
      </c>
      <c r="D27" s="29" t="n">
        <f aca="false">B27+0.01</f>
        <v>0.025</v>
      </c>
    </row>
    <row r="28" customFormat="false" ht="15" hidden="false" customHeight="false" outlineLevel="0" collapsed="false">
      <c r="A28" s="12" t="s">
        <v>212</v>
      </c>
      <c r="B28" s="14" t="n">
        <f aca="false">'3. Projection'!$C$11</f>
        <v>0.6</v>
      </c>
      <c r="C28" s="29" t="n">
        <f aca="false">MAX(0,B28-0.2)</f>
        <v>0.4</v>
      </c>
      <c r="D28" s="29" t="n">
        <f aca="false">MIN(1,B28+0.15)</f>
        <v>0.75</v>
      </c>
    </row>
    <row r="29" customFormat="false" ht="15" hidden="false" customHeight="false" outlineLevel="0" collapsed="false">
      <c r="A29" s="12" t="s">
        <v>213</v>
      </c>
      <c r="B29" s="14" t="n">
        <f aca="false">'3. Projection'!$C$15</f>
        <v>0.88</v>
      </c>
      <c r="C29" s="29" t="n">
        <f aca="false">MAX(0,B29-0.05)</f>
        <v>0.83</v>
      </c>
      <c r="D29" s="29" t="n">
        <f aca="false">MIN(1,B29+0.03)</f>
        <v>0.91</v>
      </c>
    </row>
    <row r="30" customFormat="false" ht="15" hidden="false" customHeight="false" outlineLevel="0" collapsed="false">
      <c r="A30" s="12" t="s">
        <v>146</v>
      </c>
      <c r="B30" s="49" t="n">
        <f aca="false">'3. Projection'!$C$17</f>
        <v>0.055</v>
      </c>
      <c r="C30" s="46" t="n">
        <f aca="false">B30+0.005</f>
        <v>0.06</v>
      </c>
      <c r="D30" s="46" t="n">
        <f aca="false">MAX(0.001,B30-0.0025)</f>
        <v>0.0525</v>
      </c>
    </row>
    <row r="32" customFormat="false" ht="15" hidden="false" customHeight="false" outlineLevel="0" collapsed="false">
      <c r="A32" s="35" t="s">
        <v>202</v>
      </c>
      <c r="B32" s="49" t="n">
        <f aca="false">'3. Projection'!C63</f>
        <v>0.086746249672427</v>
      </c>
      <c r="C32" s="47"/>
      <c r="D32" s="47"/>
      <c r="E32" s="20" t="s">
        <v>214</v>
      </c>
    </row>
    <row r="33" customFormat="false" ht="15" hidden="false" customHeight="false" outlineLevel="0" collapsed="false">
      <c r="A33" s="12" t="s">
        <v>195</v>
      </c>
      <c r="B33" s="52" t="n">
        <f aca="false">IF(B32="","",ROUND((B32-'3. Projection'!$C$21)*10000,0))</f>
        <v>167</v>
      </c>
      <c r="C33" s="52" t="str">
        <f aca="false">IF(C32="","",ROUND((C32-'3. Projection'!$C$21)*10000,0))</f>
        <v/>
      </c>
      <c r="D33" s="52" t="str">
        <f aca="false">IF(D32="","",ROUND((D32-'3. Projection'!$C$21)*10000,0))</f>
        <v/>
      </c>
    </row>
    <row r="35" customFormat="false" ht="15" hidden="false" customHeight="false" outlineLevel="0" collapsed="false">
      <c r="A35" s="20" t="s">
        <v>215</v>
      </c>
    </row>
    <row r="38" customFormat="false" ht="15" hidden="false" customHeight="false" outlineLevel="0" collapsed="false">
      <c r="A38" s="5" t="s">
        <v>216</v>
      </c>
    </row>
    <row r="39" customFormat="false" ht="15" hidden="false" customHeight="true" outlineLevel="0" collapsed="false">
      <c r="A39" s="8" t="s">
        <v>217</v>
      </c>
      <c r="B39" s="8"/>
      <c r="C39" s="8"/>
      <c r="D39" s="8"/>
      <c r="E39" s="8"/>
      <c r="F39" s="8"/>
      <c r="G39" s="8"/>
      <c r="H39" s="8"/>
    </row>
    <row r="41" customFormat="false" ht="15" hidden="false" customHeight="false" outlineLevel="0" collapsed="false">
      <c r="A41" s="11" t="s">
        <v>218</v>
      </c>
      <c r="B41" s="11" t="s">
        <v>32</v>
      </c>
      <c r="C41" s="11" t="s">
        <v>219</v>
      </c>
    </row>
    <row r="42" customFormat="false" ht="15" hidden="false" customHeight="false" outlineLevel="0" collapsed="false">
      <c r="A42" s="12" t="s">
        <v>220</v>
      </c>
      <c r="B42" s="47"/>
      <c r="C42" s="53" t="s">
        <v>221</v>
      </c>
    </row>
    <row r="43" customFormat="false" ht="15" hidden="false" customHeight="false" outlineLevel="0" collapsed="false">
      <c r="A43" s="12" t="s">
        <v>222</v>
      </c>
      <c r="B43" s="28"/>
      <c r="C43" s="53" t="s">
        <v>223</v>
      </c>
    </row>
    <row r="44" customFormat="false" ht="15" hidden="false" customHeight="false" outlineLevel="0" collapsed="false">
      <c r="A44" s="12" t="s">
        <v>224</v>
      </c>
      <c r="B44" s="52" t="str">
        <f aca="false">IF(B42="","",ROUND((B42-'3. Projection'!$C$17)*10000,0))</f>
        <v/>
      </c>
      <c r="C44" s="53" t="s">
        <v>225</v>
      </c>
    </row>
    <row r="46" customFormat="false" ht="15" hidden="false" customHeight="true" outlineLevel="0" collapsed="false">
      <c r="A46" s="8" t="s">
        <v>226</v>
      </c>
      <c r="B46" s="8"/>
      <c r="C46" s="8"/>
      <c r="D46" s="8"/>
      <c r="E46" s="8"/>
      <c r="F46" s="8"/>
      <c r="G46" s="8"/>
    </row>
    <row r="47" customFormat="false" ht="15" hidden="false" customHeight="false" outlineLevel="0" collapsed="false">
      <c r="A47" s="8"/>
      <c r="B47" s="8"/>
      <c r="C47" s="8"/>
      <c r="D47" s="8"/>
      <c r="E47" s="8"/>
      <c r="F47" s="8"/>
      <c r="G47" s="8"/>
    </row>
    <row r="48" customFormat="false" ht="15" hidden="false" customHeight="false" outlineLevel="0" collapsed="false">
      <c r="A48" s="8"/>
      <c r="B48" s="8"/>
      <c r="C48" s="8"/>
      <c r="D48" s="8"/>
      <c r="E48" s="8"/>
      <c r="F48" s="8"/>
      <c r="G48" s="8"/>
    </row>
  </sheetData>
  <mergeCells count="4">
    <mergeCell ref="A4:H6"/>
    <mergeCell ref="A19:G21"/>
    <mergeCell ref="A39:H39"/>
    <mergeCell ref="A46:G48"/>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2026-08-12T16:02:20Z</dcterms:created>
  <dc:creator>openpyxl</dc:creator>
  <dc:description/>
  <dc:language>en-US</dc:language>
  <cp:lastModifiedBy/>
  <dcterms:modified xsi:type="dcterms:W3CDTF">2026-08-12T16:02:20Z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