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Read Me" sheetId="1" state="visible" r:id="rId3"/>
    <sheet name="1. Assumptions" sheetId="2" state="visible" r:id="rId4"/>
    <sheet name="2. Model" sheetId="3" state="visible" r:id="rId5"/>
    <sheet name="3. Cases" sheetId="4" state="visible" r:id="rId6"/>
    <sheet name="4. Checks"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<sst xmlns="http://schemas.openxmlformats.org/spreadsheetml/2006/main" count="138" uniqueCount="122">
  <si>
    <t xml:space="preserve">The Lender's Model</t>
  </si>
  <si>
    <t xml:space="preserve">Halstead Precision Components, from the modelling chapter — live.</t>
  </si>
  <si>
    <t xml:space="preserve">The chapter underwrites a unitranche term loan at 6.25x leverage and publishes two numbers: a fixed charge coverage ratio of 1.7x in the base case, and 1.15x in the downside — thin, but still above 1.0x, with no covenant breach. This file computes both, and lets you see what moves them.</t>
  </si>
  <si>
    <t xml:space="preserve">Build the model before falling in love with the deal</t>
  </si>
  <si>
    <t xml:space="preserve">Analysts who build the model after they have already decided they like the credit tend, consciously or not, to select assumptions that make the model agree with the conclusion. This file is laid out so that the assumptions come first and the answer falls out of them.</t>
  </si>
  <si>
    <t xml:space="preserve">The sheets</t>
  </si>
  <si>
    <t xml:space="preserve">1. Assumptions — the operating base, the structure, and the two cases.</t>
  </si>
  <si>
    <t xml:space="preserve">2. Model — revenue to EBITDA to free cash flow available for debt service, the debt schedule, and the coverage, leverage and liquidity metrics, period by period.</t>
  </si>
  <si>
    <t xml:space="preserve">3. Cases — base, downside and stress side by side, with the covenant tests and the headroom.</t>
  </si>
  <si>
    <t xml:space="preserve">4. Checks — the chapter's two published ratios against what this file computes.</t>
  </si>
  <si>
    <t xml:space="preserve">One calibration, declared</t>
  </si>
  <si>
    <t xml:space="preserve">The chapter publishes the two coverage ratios without publishing the model behind them. Two inputs are therefore calibrated so that both reproduce exactly: the all-in cash coupon and capital expenditure as a share of revenue. Both are ordinary inputs on sheet 1 — change them and the file prices your deal instead of the chapter's. Everything else in the chapter is stated and used as stated: 6 percent growth, 22 percent margins, 6.25x leverage, a 12 percent revenue decline and a 17 percent margin in the downside.</t>
  </si>
  <si>
    <t xml:space="preserve">A credit model without a downside case is an incomplete model, regardless of how sophisticated its base case assumptions are.</t>
  </si>
  <si>
    <t xml:space="preserve">Assumptions</t>
  </si>
  <si>
    <t xml:space="preserve">Blue is yours. Yellow carries the answer.</t>
  </si>
  <si>
    <t xml:space="preserve">The business</t>
  </si>
  <si>
    <t xml:space="preserve">Revenue, last twelve months</t>
  </si>
  <si>
    <t xml:space="preserve">Notional. Scale it to your borrower.</t>
  </si>
  <si>
    <t xml:space="preserve">EBITDA margin, trailing three years</t>
  </si>
  <si>
    <t xml:space="preserve">The chapter: stable 22 per cent</t>
  </si>
  <si>
    <t xml:space="preserve">Revenue growth, base case</t>
  </si>
  <si>
    <t xml:space="preserve">The chapter: 6 per cent, with a full order backlog</t>
  </si>
  <si>
    <t xml:space="preserve">Depreciation and amortisation, share of revenue</t>
  </si>
  <si>
    <t xml:space="preserve">Capital expenditure, share of revenue</t>
  </si>
  <si>
    <t xml:space="preserve">Calibrated — see the Read Me</t>
  </si>
  <si>
    <t xml:space="preserve">Cash tax rate</t>
  </si>
  <si>
    <t xml:space="preserve">Change in working capital, share of the revenue increase</t>
  </si>
  <si>
    <t xml:space="preserve">A company can grow EBITDA and still consume the cash in receivables and inventory</t>
  </si>
  <si>
    <t xml:space="preserve">The structure</t>
  </si>
  <si>
    <t xml:space="preserve">Opening leverage, debt to EBITDA</t>
  </si>
  <si>
    <t xml:space="preserve">The chapter: a unitranche priced at 6.25x</t>
  </si>
  <si>
    <t xml:space="preserve">Debt at closing</t>
  </si>
  <si>
    <t xml:space="preserve">All-in cash coupon</t>
  </si>
  <si>
    <t xml:space="preserve">Scheduled amortisation, share of the original principal</t>
  </si>
  <si>
    <t xml:space="preserve">Cash sweep on excess cash flow</t>
  </si>
  <si>
    <t xml:space="preserve">Revolver commitment</t>
  </si>
  <si>
    <t xml:space="preserve">Opening cash</t>
  </si>
  <si>
    <t xml:space="preserve">The covenants</t>
  </si>
  <si>
    <t xml:space="preserve">Leverage covenant at closing</t>
  </si>
  <si>
    <t xml:space="preserve">Fixed charge coverage covenant</t>
  </si>
  <si>
    <t xml:space="preserve">Covenant cushion to closing leverage</t>
  </si>
  <si>
    <t xml:space="preserve">The three cases</t>
  </si>
  <si>
    <t xml:space="preserve">Case</t>
  </si>
  <si>
    <t xml:space="preserve">Revenue year 1</t>
  </si>
  <si>
    <t xml:space="preserve">EBITDA margin</t>
  </si>
  <si>
    <t xml:space="preserve">Applied?</t>
  </si>
  <si>
    <t xml:space="preserve">Base</t>
  </si>
  <si>
    <t xml:space="preserve">Type Base, Downside or Stress to drive sheet 2</t>
  </si>
  <si>
    <t xml:space="preserve">Downside</t>
  </si>
  <si>
    <t xml:space="preserve">Stress</t>
  </si>
  <si>
    <t xml:space="preserve">The downside is not an arbitrary haircut applied uniformly to every line. It is a coherent scenario: the magnitude of volume decline the company's own history showed in the prior industrial downturn, with margin compression that reflects fixed labour and facility costs which do not flex down proportionally.</t>
  </si>
  <si>
    <t xml:space="preserve">And the stress case exists because a downside that still clears 1.0x tells you the deal survives an ordinary bad year. It does not tell you what happens when several adverse factors compound at once, which is closer to how most actual credit losses occur.</t>
  </si>
  <si>
    <t xml:space="preserve">The model</t>
  </si>
  <si>
    <t xml:space="preserve">Five years. Year 1 applies the selected case; later years revert to base growth.</t>
  </si>
  <si>
    <t xml:space="preserve">Case applied</t>
  </si>
  <si>
    <t xml:space="preserve">Year 1 revenue growth</t>
  </si>
  <si>
    <t xml:space="preserve">Year 1 EBITDA margin</t>
  </si>
  <si>
    <t xml:space="preserve">Line</t>
  </si>
  <si>
    <t xml:space="preserve">Year 1</t>
  </si>
  <si>
    <t xml:space="preserve">Year 2</t>
  </si>
  <si>
    <t xml:space="preserve">Year 3</t>
  </si>
  <si>
    <t xml:space="preserve">Year 4</t>
  </si>
  <si>
    <t xml:space="preserve">Year 5</t>
  </si>
  <si>
    <t xml:space="preserve">Revenue</t>
  </si>
  <si>
    <t xml:space="preserve">EBITDA</t>
  </si>
  <si>
    <t xml:space="preserve">Less capital expenditure</t>
  </si>
  <si>
    <t xml:space="preserve">Less cash taxes</t>
  </si>
  <si>
    <t xml:space="preserve">Less change in working capital</t>
  </si>
  <si>
    <t xml:space="preserve">Free cash flow before debt service</t>
  </si>
  <si>
    <t xml:space="preserve">Cash interest</t>
  </si>
  <si>
    <t xml:space="preserve">Scheduled amortisation</t>
  </si>
  <si>
    <t xml:space="preserve">Fixed charges</t>
  </si>
  <si>
    <t xml:space="preserve">Fixed charge coverage ratio</t>
  </si>
  <si>
    <t xml:space="preserve">Cash flow after debt service</t>
  </si>
  <si>
    <t xml:space="preserve">Cash sweep</t>
  </si>
  <si>
    <t xml:space="preserve">Debt, opening</t>
  </si>
  <si>
    <t xml:space="preserve">Debt, closing</t>
  </si>
  <si>
    <t xml:space="preserve">Leverage, debt to EBITDA</t>
  </si>
  <si>
    <t xml:space="preserve">Cash balance</t>
  </si>
  <si>
    <t xml:space="preserve">The fixed charge coverage ratio is EBITDA less capital expenditure and cash taxes, divided by cash interest plus scheduled amortisation — the single best summary statistic for whether the business generates enough cash to service the structure you are proposing.</t>
  </si>
  <si>
    <t xml:space="preserve">The three cases, side by side</t>
  </si>
  <si>
    <t xml:space="preserve">Enter the year-1 coverage from sheet 2 for each case.</t>
  </si>
  <si>
    <t xml:space="preserve">Sheet 2 runs one case at a time. Set the case on sheet 1, read the year-1 fixed charge coverage ratio and the year-1 leverage, and record them here. Three switches, two minutes, and the page a credit committee actually reads.</t>
  </si>
  <si>
    <t xml:space="preserve">Year 1 coverage</t>
  </si>
  <si>
    <t xml:space="preserve">Year 1 leverage</t>
  </si>
  <si>
    <t xml:space="preserve">Coverage covenant</t>
  </si>
  <si>
    <t xml:space="preserve">Leverage covenant</t>
  </si>
  <si>
    <t xml:space="preserve">Verdict</t>
  </si>
  <si>
    <t xml:space="preserve">Base case, from sheet 2 when the case is Base</t>
  </si>
  <si>
    <t xml:space="preserve">the live figures for whichever case is currently selected</t>
  </si>
  <si>
    <t xml:space="preserve">Headroom</t>
  </si>
  <si>
    <t xml:space="preserve">Measure</t>
  </si>
  <si>
    <t xml:space="preserve">Coverage above the covenant</t>
  </si>
  <si>
    <t xml:space="preserve">Coverage above 1.00x</t>
  </si>
  <si>
    <t xml:space="preserve">Does the deal survive an ordinary bad year?</t>
  </si>
  <si>
    <t xml:space="preserve">And several adverse factors at once?</t>
  </si>
  <si>
    <t xml:space="preserve">That result — the downside, not the base case — is what determines willingness to proceed, and it is what informs where the leverage covenant is set relative to closing leverage.</t>
  </si>
  <si>
    <t xml:space="preserve">What the stress case must not do</t>
  </si>
  <si>
    <t xml:space="preserve">It must not stress the seasoned business and wave through the piece that is not. A team evaluating an add-on built its downside around the legacy churn rate and never separately stressed a unit with nine months of operating history; steeper churn on that piece alone pushed combined coverage well below 1.0x in year two — a result the original downside never surfaced. Recently acquired or otherwise unseasoned pieces deserve their own, more conservative assumptions until they have shown resilience through at least one full cycle.</t>
  </si>
  <si>
    <t xml:space="preserve">Part of the business</t>
  </si>
  <si>
    <t xml:space="preserve">Share of EBITDA</t>
  </si>
  <si>
    <t xml:space="preserve">Seasoned?</t>
  </si>
  <si>
    <t xml:space="preserve">Stressed separately?</t>
  </si>
  <si>
    <t xml:space="preserve">Unseasoned EBITDA not stressed separately</t>
  </si>
  <si>
    <t xml:space="preserve">The chapter's published figures, against what this file computes</t>
  </si>
  <si>
    <t xml:space="preserve">Figure</t>
  </si>
  <si>
    <t xml:space="preserve">The chapter</t>
  </si>
  <si>
    <t xml:space="preserve">This file</t>
  </si>
  <si>
    <t xml:space="preserve">Status</t>
  </si>
  <si>
    <t xml:space="preserve">Note</t>
  </si>
  <si>
    <t xml:space="preserve">Opening leverage</t>
  </si>
  <si>
    <t xml:space="preserve">stated</t>
  </si>
  <si>
    <t xml:space="preserve">EBITDA margin, base case</t>
  </si>
  <si>
    <t xml:space="preserve">Revenue decline, downside</t>
  </si>
  <si>
    <t xml:space="preserve">EBITDA margin, downside</t>
  </si>
  <si>
    <t xml:space="preserve">Fixed charge coverage, base case</t>
  </si>
  <si>
    <t xml:space="preserve">computed</t>
  </si>
  <si>
    <t xml:space="preserve">Fixed charge coverage, downside</t>
  </si>
  <si>
    <t xml:space="preserve">Downside still above 1.00x</t>
  </si>
  <si>
    <t xml:space="preserve">the chapter: "thin, but still above 1.0x"</t>
  </si>
  <si>
    <t xml:space="preserve">Figures agreeing with the chapter</t>
  </si>
  <si>
    <t xml:space="preserve">Rows 11 and 12 read from sheet 3, which you fill in by switching the case on sheet 1 and recording the year-1 coverage. They are blank until you do, and that is deliberate: the point of the chapter is that the downside is run, not assumed.</t>
  </si>
</sst>
</file>

<file path=xl/styles.xml><?xml version="1.0" encoding="utf-8"?>
<styleSheet xmlns="http://schemas.openxmlformats.org/spreadsheetml/2006/main">
  <numFmts count="5">
    <numFmt numFmtId="164" formatCode="General"/>
    <numFmt numFmtId="165" formatCode="#,##0.0"/>
    <numFmt numFmtId="166" formatCode="0.0%"/>
    <numFmt numFmtId="167" formatCode="0.00\x"/>
    <numFmt numFmtId="168" formatCode="0"/>
  </numFmts>
  <fonts count="13">
    <font>
      <sz val="11"/>
      <color theme="1"/>
      <name val="Calibri"/>
      <family val="2"/>
      <charset val="1"/>
    </font>
    <font>
      <sz val="10"/>
      <name val="Arial"/>
      <family val="0"/>
    </font>
    <font>
      <sz val="10"/>
      <name val="Arial"/>
      <family val="0"/>
    </font>
    <font>
      <sz val="10"/>
      <name val="Arial"/>
      <family val="0"/>
    </font>
    <font>
      <b val="true"/>
      <sz val="14"/>
      <color rgb="FF14171D"/>
      <name val="Arial"/>
      <family val="0"/>
      <charset val="1"/>
    </font>
    <font>
      <i val="true"/>
      <sz val="9"/>
      <color rgb="FF555555"/>
      <name val="Arial"/>
      <family val="0"/>
      <charset val="1"/>
    </font>
    <font>
      <sz val="10"/>
      <name val="Arial"/>
      <family val="0"/>
      <charset val="1"/>
    </font>
    <font>
      <b val="true"/>
      <sz val="11"/>
      <color rgb="FF14171D"/>
      <name val="Arial"/>
      <family val="0"/>
      <charset val="1"/>
    </font>
    <font>
      <sz val="10"/>
      <color rgb="FF0000FF"/>
      <name val="Arial"/>
      <family val="0"/>
      <charset val="1"/>
    </font>
    <font>
      <sz val="9"/>
      <color rgb="FF555555"/>
      <name val="Arial"/>
      <family val="0"/>
      <charset val="1"/>
    </font>
    <font>
      <b val="true"/>
      <sz val="10"/>
      <color rgb="FFFFFFFF"/>
      <name val="Arial"/>
      <family val="0"/>
      <charset val="1"/>
    </font>
    <font>
      <b val="true"/>
      <sz val="10"/>
      <name val="Arial"/>
      <family val="0"/>
      <charset val="1"/>
    </font>
    <font>
      <sz val="10"/>
      <color rgb="FF008000"/>
      <name val="Arial"/>
      <family val="0"/>
      <charset val="1"/>
    </font>
  </fonts>
  <fills count="5">
    <fill>
      <patternFill patternType="none"/>
    </fill>
    <fill>
      <patternFill patternType="gray125"/>
    </fill>
    <fill>
      <patternFill patternType="solid">
        <fgColor rgb="FFFFFF00"/>
        <bgColor rgb="FFFFFF00"/>
      </patternFill>
    </fill>
    <fill>
      <patternFill patternType="solid">
        <fgColor rgb="FFEAF1FB"/>
        <bgColor rgb="FFFFFFFF"/>
      </patternFill>
    </fill>
    <fill>
      <patternFill patternType="solid">
        <fgColor rgb="FF14171D"/>
        <bgColor rgb="FF000000"/>
      </patternFill>
    </fill>
  </fills>
  <borders count="2">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8" fillId="2"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6" fontId="8" fillId="2" borderId="1" xfId="0" applyFont="true" applyBorder="true" applyAlignment="false" applyProtection="false">
      <alignment horizontal="general" vertical="bottom" textRotation="0" wrapText="false" indent="0" shrinkToFit="false"/>
      <protection locked="true" hidden="false"/>
    </xf>
    <xf numFmtId="166" fontId="8" fillId="3" borderId="1" xfId="0" applyFont="true" applyBorder="true" applyAlignment="false" applyProtection="false">
      <alignment horizontal="general" vertical="bottom" textRotation="0" wrapText="false" indent="0" shrinkToFit="false"/>
      <protection locked="true" hidden="false"/>
    </xf>
    <xf numFmtId="167" fontId="8" fillId="2" borderId="1" xfId="0" applyFont="true" applyBorder="true" applyAlignment="false" applyProtection="false">
      <alignment horizontal="general" vertical="bottom" textRotation="0" wrapText="false" indent="0" shrinkToFit="false"/>
      <protection locked="true" hidden="false"/>
    </xf>
    <xf numFmtId="165" fontId="6" fillId="0" borderId="1" xfId="0" applyFont="true" applyBorder="true" applyAlignment="false" applyProtection="false">
      <alignment horizontal="general" vertical="bottom" textRotation="0" wrapText="false" indent="0" shrinkToFit="false"/>
      <protection locked="true" hidden="false"/>
    </xf>
    <xf numFmtId="165" fontId="8" fillId="3" borderId="1" xfId="0" applyFont="true" applyBorder="true" applyAlignment="false" applyProtection="false">
      <alignment horizontal="general" vertical="bottom" textRotation="0" wrapText="false" indent="0" shrinkToFit="false"/>
      <protection locked="true" hidden="false"/>
    </xf>
    <xf numFmtId="167" fontId="8" fillId="3" borderId="1" xfId="0" applyFont="true" applyBorder="true" applyAlignment="false" applyProtection="false">
      <alignment horizontal="general" vertical="bottom" textRotation="0" wrapText="false" indent="0" shrinkToFit="false"/>
      <protection locked="true" hidden="false"/>
    </xf>
    <xf numFmtId="167" fontId="6" fillId="0" borderId="0" xfId="0" applyFont="true" applyBorder="false" applyAlignment="false" applyProtection="false">
      <alignment horizontal="general" vertical="bottom" textRotation="0" wrapText="false" indent="0" shrinkToFit="false"/>
      <protection locked="true" hidden="false"/>
    </xf>
    <xf numFmtId="164" fontId="10" fillId="4" borderId="1" xfId="0" applyFont="true" applyBorder="true" applyAlignment="true" applyProtection="false">
      <alignment horizontal="center" vertical="bottom" textRotation="0" wrapText="tru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4" fontId="8" fillId="2"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6" fontId="6" fillId="0" borderId="0" xfId="0" applyFont="true" applyBorder="false" applyAlignment="false" applyProtection="false">
      <alignment horizontal="general" vertical="bottom" textRotation="0" wrapText="false" indent="0" shrinkToFit="false"/>
      <protection locked="true" hidden="false"/>
    </xf>
    <xf numFmtId="165" fontId="11" fillId="0"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7" fontId="11" fillId="2" borderId="1" xfId="0" applyFont="true" applyBorder="true" applyAlignment="false" applyProtection="false">
      <alignment horizontal="general" vertical="bottom" textRotation="0" wrapText="false" indent="0" shrinkToFit="false"/>
      <protection locked="true" hidden="false"/>
    </xf>
    <xf numFmtId="167" fontId="11" fillId="0" borderId="1" xfId="0" applyFont="true" applyBorder="true" applyAlignment="false" applyProtection="false">
      <alignment horizontal="general" vertical="bottom" textRotation="0" wrapText="false" indent="0" shrinkToFit="false"/>
      <protection locked="true" hidden="false"/>
    </xf>
    <xf numFmtId="167" fontId="12" fillId="0" borderId="1" xfId="0" applyFont="true" applyBorder="true" applyAlignment="false" applyProtection="false">
      <alignment horizontal="general" vertical="bottom" textRotation="0" wrapText="false" indent="0" shrinkToFit="false"/>
      <protection locked="true" hidden="false"/>
    </xf>
    <xf numFmtId="167" fontId="12" fillId="0" borderId="0" xfId="0" applyFont="true" applyBorder="false" applyAlignment="false" applyProtection="false">
      <alignment horizontal="general" vertical="bottom" textRotation="0" wrapText="false" indent="0" shrinkToFit="false"/>
      <protection locked="true" hidden="false"/>
    </xf>
    <xf numFmtId="167" fontId="6" fillId="0" borderId="1" xfId="0" applyFont="true" applyBorder="true" applyAlignment="false" applyProtection="false">
      <alignment horizontal="general" vertical="bottom" textRotation="0" wrapText="false" indent="0" shrinkToFit="false"/>
      <protection locked="true" hidden="false"/>
    </xf>
    <xf numFmtId="164" fontId="8" fillId="3" borderId="1" xfId="0" applyFont="true" applyBorder="true" applyAlignment="false" applyProtection="false">
      <alignment horizontal="general" vertical="bottom" textRotation="0" wrapText="false" indent="0" shrinkToFit="false"/>
      <protection locked="true" hidden="false"/>
    </xf>
    <xf numFmtId="164" fontId="8" fillId="3" borderId="1" xfId="0" applyFont="true" applyBorder="true" applyAlignment="true" applyProtection="false">
      <alignment horizontal="center" vertical="bottom" textRotation="0" wrapText="false" indent="0" shrinkToFit="false"/>
      <protection locked="true" hidden="false"/>
    </xf>
    <xf numFmtId="166" fontId="11" fillId="0" borderId="0" xfId="0" applyFont="true" applyBorder="false" applyAlignment="false" applyProtection="false">
      <alignment horizontal="general" vertical="bottom" textRotation="0" wrapText="false" indent="0" shrinkToFit="false"/>
      <protection locked="true" hidden="false"/>
    </xf>
    <xf numFmtId="167" fontId="8" fillId="0"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6" fontId="8" fillId="0" borderId="1" xfId="0" applyFont="true" applyBorder="true" applyAlignment="false" applyProtection="false">
      <alignment horizontal="general" vertical="bottom" textRotation="0" wrapText="false" indent="0" shrinkToFit="false"/>
      <protection locked="true" hidden="false"/>
    </xf>
    <xf numFmtId="166" fontId="12" fillId="0" borderId="1" xfId="0" applyFont="true" applyBorder="true" applyAlignment="false" applyProtection="false">
      <alignment horizontal="general" vertical="bottom" textRotation="0" wrapText="false" indent="0" shrinkToFit="false"/>
      <protection locked="true" hidden="false"/>
    </xf>
    <xf numFmtId="168" fontId="11"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08080"/>
      <rgbColor rgb="FF9999FF"/>
      <rgbColor rgb="FF993366"/>
      <rgbColor rgb="FFFFFFCC"/>
      <rgbColor rgb="FFEAF1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14171D"/>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2"/>
  </cols>
  <sheetData>
    <row r="1" customFormat="false" ht="17.35" hidden="false" customHeight="false" outlineLevel="0" collapsed="false">
      <c r="A1" s="1" t="s">
        <v>0</v>
      </c>
    </row>
    <row r="2" customFormat="false" ht="15" hidden="false" customHeight="false" outlineLevel="0" collapsed="false">
      <c r="A2" s="2" t="s">
        <v>1</v>
      </c>
    </row>
    <row r="5" customFormat="false" ht="35.05" hidden="false" customHeight="false" outlineLevel="0" collapsed="false">
      <c r="A5" s="3" t="s">
        <v>2</v>
      </c>
    </row>
    <row r="7" customFormat="false" ht="15" hidden="false" customHeight="false" outlineLevel="0" collapsed="false">
      <c r="A7" s="4" t="s">
        <v>3</v>
      </c>
    </row>
    <row r="8" customFormat="false" ht="23.85" hidden="false" customHeight="false" outlineLevel="0" collapsed="false">
      <c r="A8" s="3" t="s">
        <v>4</v>
      </c>
    </row>
    <row r="10" customFormat="false" ht="15" hidden="false" customHeight="false" outlineLevel="0" collapsed="false">
      <c r="A10" s="4" t="s">
        <v>5</v>
      </c>
    </row>
    <row r="11" customFormat="false" ht="15" hidden="false" customHeight="false" outlineLevel="0" collapsed="false">
      <c r="A11" s="3" t="s">
        <v>6</v>
      </c>
    </row>
    <row r="12" customFormat="false" ht="23.85" hidden="false" customHeight="false" outlineLevel="0" collapsed="false">
      <c r="A12" s="3" t="s">
        <v>7</v>
      </c>
    </row>
    <row r="13" customFormat="false" ht="15" hidden="false" customHeight="false" outlineLevel="0" collapsed="false">
      <c r="A13" s="3" t="s">
        <v>8</v>
      </c>
    </row>
    <row r="14" customFormat="false" ht="15" hidden="false" customHeight="false" outlineLevel="0" collapsed="false">
      <c r="A14" s="3" t="s">
        <v>9</v>
      </c>
    </row>
    <row r="16" customFormat="false" ht="15" hidden="false" customHeight="false" outlineLevel="0" collapsed="false">
      <c r="A16" s="4" t="s">
        <v>10</v>
      </c>
    </row>
    <row r="17" customFormat="false" ht="46.25" hidden="false" customHeight="false" outlineLevel="0" collapsed="false">
      <c r="A17" s="3" t="s">
        <v>11</v>
      </c>
    </row>
    <row r="19" customFormat="false" ht="15" hidden="false" customHeight="false" outlineLevel="0" collapsed="false">
      <c r="A19" s="3"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4"/>
    <col collapsed="false" customWidth="true" hidden="false" outlineLevel="0" max="4" min="2" style="0" width="16"/>
    <col collapsed="false" customWidth="true" hidden="false" outlineLevel="0" max="5" min="5" style="0" width="46"/>
  </cols>
  <sheetData>
    <row r="1" customFormat="false" ht="17.35" hidden="false" customHeight="false" outlineLevel="0" collapsed="false">
      <c r="A1" s="1" t="s">
        <v>13</v>
      </c>
    </row>
    <row r="2" customFormat="false" ht="15" hidden="false" customHeight="false" outlineLevel="0" collapsed="false">
      <c r="A2" s="2" t="s">
        <v>14</v>
      </c>
    </row>
    <row r="4" customFormat="false" ht="15" hidden="false" customHeight="false" outlineLevel="0" collapsed="false">
      <c r="A4" s="5" t="s">
        <v>15</v>
      </c>
    </row>
    <row r="5" customFormat="false" ht="15" hidden="false" customHeight="false" outlineLevel="0" collapsed="false">
      <c r="A5" s="6" t="s">
        <v>16</v>
      </c>
      <c r="C5" s="7" t="n">
        <v>100</v>
      </c>
      <c r="E5" s="8" t="s">
        <v>17</v>
      </c>
    </row>
    <row r="6" customFormat="false" ht="15" hidden="false" customHeight="false" outlineLevel="0" collapsed="false">
      <c r="A6" s="6" t="s">
        <v>18</v>
      </c>
      <c r="C6" s="9" t="n">
        <v>0.22</v>
      </c>
      <c r="E6" s="8" t="s">
        <v>19</v>
      </c>
    </row>
    <row r="7" customFormat="false" ht="15" hidden="false" customHeight="false" outlineLevel="0" collapsed="false">
      <c r="A7" s="6" t="s">
        <v>20</v>
      </c>
      <c r="C7" s="9" t="n">
        <v>0.06</v>
      </c>
      <c r="E7" s="8" t="s">
        <v>21</v>
      </c>
    </row>
    <row r="8" customFormat="false" ht="15" hidden="false" customHeight="false" outlineLevel="0" collapsed="false">
      <c r="A8" s="6" t="s">
        <v>22</v>
      </c>
      <c r="C8" s="10" t="n">
        <v>0.045</v>
      </c>
      <c r="E8" s="8"/>
    </row>
    <row r="9" customFormat="false" ht="15" hidden="false" customHeight="false" outlineLevel="0" collapsed="false">
      <c r="A9" s="6" t="s">
        <v>23</v>
      </c>
      <c r="C9" s="9" t="n">
        <v>0.021776</v>
      </c>
      <c r="E9" s="8" t="s">
        <v>24</v>
      </c>
    </row>
    <row r="10" customFormat="false" ht="15" hidden="false" customHeight="false" outlineLevel="0" collapsed="false">
      <c r="A10" s="6" t="s">
        <v>25</v>
      </c>
      <c r="C10" s="10" t="n">
        <v>0.25</v>
      </c>
      <c r="E10" s="8"/>
    </row>
    <row r="11" customFormat="false" ht="15" hidden="false" customHeight="false" outlineLevel="0" collapsed="false">
      <c r="A11" s="6" t="s">
        <v>26</v>
      </c>
      <c r="C11" s="10" t="n">
        <v>0.15</v>
      </c>
      <c r="E11" s="8" t="s">
        <v>27</v>
      </c>
    </row>
    <row r="14" customFormat="false" ht="15" hidden="false" customHeight="false" outlineLevel="0" collapsed="false">
      <c r="A14" s="5" t="s">
        <v>28</v>
      </c>
    </row>
    <row r="15" customFormat="false" ht="15" hidden="false" customHeight="false" outlineLevel="0" collapsed="false">
      <c r="A15" s="6" t="s">
        <v>29</v>
      </c>
      <c r="C15" s="11" t="n">
        <v>6.25</v>
      </c>
      <c r="E15" s="8" t="s">
        <v>30</v>
      </c>
    </row>
    <row r="16" customFormat="false" ht="15" hidden="false" customHeight="false" outlineLevel="0" collapsed="false">
      <c r="A16" s="6" t="s">
        <v>31</v>
      </c>
      <c r="C16" s="12" t="n">
        <f aca="false">IFERROR(C15*C6*C5,"")</f>
        <v>137.5</v>
      </c>
      <c r="E16" s="8"/>
    </row>
    <row r="17" customFormat="false" ht="15" hidden="false" customHeight="false" outlineLevel="0" collapsed="false">
      <c r="A17" s="6" t="s">
        <v>32</v>
      </c>
      <c r="C17" s="9" t="n">
        <v>0.070404</v>
      </c>
      <c r="E17" s="8" t="s">
        <v>24</v>
      </c>
    </row>
    <row r="18" customFormat="false" ht="15" hidden="false" customHeight="false" outlineLevel="0" collapsed="false">
      <c r="A18" s="6" t="s">
        <v>33</v>
      </c>
      <c r="C18" s="10" t="n">
        <v>0.01</v>
      </c>
      <c r="E18" s="8"/>
    </row>
    <row r="19" customFormat="false" ht="15" hidden="false" customHeight="false" outlineLevel="0" collapsed="false">
      <c r="A19" s="6" t="s">
        <v>34</v>
      </c>
      <c r="C19" s="10" t="n">
        <v>0.5</v>
      </c>
      <c r="E19" s="8"/>
    </row>
    <row r="20" customFormat="false" ht="15" hidden="false" customHeight="false" outlineLevel="0" collapsed="false">
      <c r="A20" s="6" t="s">
        <v>35</v>
      </c>
      <c r="C20" s="13" t="n">
        <v>10</v>
      </c>
      <c r="E20" s="8"/>
    </row>
    <row r="21" customFormat="false" ht="15" hidden="false" customHeight="false" outlineLevel="0" collapsed="false">
      <c r="A21" s="6" t="s">
        <v>36</v>
      </c>
      <c r="C21" s="13" t="n">
        <v>5</v>
      </c>
      <c r="E21" s="8"/>
    </row>
    <row r="23" customFormat="false" ht="15" hidden="false" customHeight="false" outlineLevel="0" collapsed="false">
      <c r="A23" s="5" t="s">
        <v>37</v>
      </c>
    </row>
    <row r="24" customFormat="false" ht="15" hidden="false" customHeight="false" outlineLevel="0" collapsed="false">
      <c r="A24" s="6" t="s">
        <v>38</v>
      </c>
      <c r="C24" s="14" t="n">
        <v>9.5</v>
      </c>
    </row>
    <row r="25" customFormat="false" ht="15" hidden="false" customHeight="false" outlineLevel="0" collapsed="false">
      <c r="A25" s="6" t="s">
        <v>39</v>
      </c>
      <c r="C25" s="14" t="n">
        <v>1.1</v>
      </c>
    </row>
    <row r="26" customFormat="false" ht="15" hidden="false" customHeight="false" outlineLevel="0" collapsed="false">
      <c r="A26" s="6" t="s">
        <v>40</v>
      </c>
      <c r="C26" s="15" t="n">
        <f aca="false">IFERROR(C24-C15,"")</f>
        <v>3.25</v>
      </c>
    </row>
    <row r="28" customFormat="false" ht="15" hidden="false" customHeight="false" outlineLevel="0" collapsed="false">
      <c r="A28" s="5" t="s">
        <v>41</v>
      </c>
    </row>
    <row r="29" customFormat="false" ht="15" hidden="false" customHeight="false" outlineLevel="0" collapsed="false">
      <c r="A29" s="16" t="s">
        <v>42</v>
      </c>
      <c r="B29" s="16" t="s">
        <v>43</v>
      </c>
      <c r="C29" s="16" t="s">
        <v>44</v>
      </c>
      <c r="D29" s="16" t="s">
        <v>45</v>
      </c>
    </row>
    <row r="30" customFormat="false" ht="15" hidden="false" customHeight="false" outlineLevel="0" collapsed="false">
      <c r="A30" s="17" t="s">
        <v>46</v>
      </c>
      <c r="B30" s="18" t="n">
        <f aca="false">C7</f>
        <v>0.06</v>
      </c>
      <c r="C30" s="18" t="n">
        <f aca="false">C6</f>
        <v>0.22</v>
      </c>
      <c r="D30" s="19" t="s">
        <v>46</v>
      </c>
      <c r="E30" s="8" t="s">
        <v>47</v>
      </c>
    </row>
    <row r="31" customFormat="false" ht="15" hidden="false" customHeight="false" outlineLevel="0" collapsed="false">
      <c r="A31" s="17" t="s">
        <v>48</v>
      </c>
      <c r="B31" s="10" t="n">
        <v>-0.12</v>
      </c>
      <c r="C31" s="10" t="n">
        <v>0.17</v>
      </c>
    </row>
    <row r="32" customFormat="false" ht="15" hidden="false" customHeight="false" outlineLevel="0" collapsed="false">
      <c r="A32" s="17" t="s">
        <v>49</v>
      </c>
      <c r="B32" s="10" t="n">
        <v>-0.2</v>
      </c>
      <c r="C32" s="10" t="n">
        <v>0.15</v>
      </c>
    </row>
    <row r="34" customFormat="false" ht="15" hidden="false" customHeight="true" outlineLevel="0" collapsed="false">
      <c r="A34" s="20" t="s">
        <v>50</v>
      </c>
      <c r="B34" s="20"/>
      <c r="C34" s="20"/>
      <c r="D34" s="20"/>
      <c r="E34" s="20"/>
    </row>
    <row r="35" customFormat="false" ht="15" hidden="false" customHeight="false" outlineLevel="0" collapsed="false">
      <c r="A35" s="20"/>
      <c r="B35" s="20"/>
      <c r="C35" s="20"/>
      <c r="D35" s="20"/>
      <c r="E35" s="20"/>
    </row>
    <row r="36" customFormat="false" ht="15" hidden="false" customHeight="false" outlineLevel="0" collapsed="false">
      <c r="A36" s="20"/>
      <c r="B36" s="20"/>
      <c r="C36" s="20"/>
      <c r="D36" s="20"/>
      <c r="E36" s="20"/>
    </row>
    <row r="37" customFormat="false" ht="15" hidden="false" customHeight="false" outlineLevel="0" collapsed="false">
      <c r="A37" s="20"/>
      <c r="B37" s="20"/>
      <c r="C37" s="20"/>
      <c r="D37" s="20"/>
      <c r="E37" s="20"/>
    </row>
    <row r="39" customFormat="false" ht="15" hidden="false" customHeight="true" outlineLevel="0" collapsed="false">
      <c r="A39" s="20" t="s">
        <v>51</v>
      </c>
      <c r="B39" s="20"/>
      <c r="C39" s="20"/>
      <c r="D39" s="20"/>
      <c r="E39" s="20"/>
    </row>
    <row r="40" customFormat="false" ht="15" hidden="false" customHeight="false" outlineLevel="0" collapsed="false">
      <c r="A40" s="20"/>
      <c r="B40" s="20"/>
      <c r="C40" s="20"/>
      <c r="D40" s="20"/>
      <c r="E40" s="20"/>
    </row>
    <row r="41" customFormat="false" ht="15" hidden="false" customHeight="false" outlineLevel="0" collapsed="false">
      <c r="A41" s="20"/>
      <c r="B41" s="20"/>
      <c r="C41" s="20"/>
      <c r="D41" s="20"/>
      <c r="E41" s="20"/>
    </row>
    <row r="42" customFormat="false" ht="15" hidden="false" customHeight="false" outlineLevel="0" collapsed="false">
      <c r="A42" s="20"/>
      <c r="B42" s="20"/>
      <c r="C42" s="20"/>
      <c r="D42" s="20"/>
      <c r="E42" s="20"/>
    </row>
  </sheetData>
  <mergeCells count="2">
    <mergeCell ref="A34:E37"/>
    <mergeCell ref="A39:E4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8"/>
    <col collapsed="false" customWidth="true" hidden="false" outlineLevel="0" max="7" min="2" style="0" width="14"/>
  </cols>
  <sheetData>
    <row r="1" customFormat="false" ht="17.35" hidden="false" customHeight="false" outlineLevel="0" collapsed="false">
      <c r="A1" s="1" t="s">
        <v>52</v>
      </c>
    </row>
    <row r="2" customFormat="false" ht="15" hidden="false" customHeight="false" outlineLevel="0" collapsed="false">
      <c r="A2" s="2" t="s">
        <v>53</v>
      </c>
    </row>
    <row r="4" customFormat="false" ht="15" hidden="false" customHeight="false" outlineLevel="0" collapsed="false">
      <c r="A4" s="21" t="s">
        <v>54</v>
      </c>
      <c r="C4" s="22" t="str">
        <f aca="false">'1. Assumptions'!D30</f>
        <v>Base</v>
      </c>
    </row>
    <row r="5" customFormat="false" ht="15" hidden="false" customHeight="false" outlineLevel="0" collapsed="false">
      <c r="A5" s="6" t="s">
        <v>55</v>
      </c>
      <c r="C5" s="23" t="n">
        <f aca="false">IF($C$4="Downside",'1. Assumptions'!B31,IF($C$4="Stress",'1. Assumptions'!B32,'1. Assumptions'!B30))</f>
        <v>0.06</v>
      </c>
    </row>
    <row r="6" customFormat="false" ht="15" hidden="false" customHeight="false" outlineLevel="0" collapsed="false">
      <c r="A6" s="6" t="s">
        <v>56</v>
      </c>
      <c r="C6" s="23" t="n">
        <f aca="false">IF($C$4="Downside",'1. Assumptions'!C31,IF($C$4="Stress",'1. Assumptions'!C32,'1. Assumptions'!C30))</f>
        <v>0.22</v>
      </c>
    </row>
    <row r="8" customFormat="false" ht="15" hidden="false" customHeight="false" outlineLevel="0" collapsed="false">
      <c r="A8" s="16" t="s">
        <v>57</v>
      </c>
      <c r="B8" s="16" t="s">
        <v>58</v>
      </c>
      <c r="C8" s="16" t="s">
        <v>59</v>
      </c>
      <c r="D8" s="16" t="s">
        <v>60</v>
      </c>
      <c r="E8" s="16" t="s">
        <v>61</v>
      </c>
      <c r="F8" s="16" t="s">
        <v>62</v>
      </c>
    </row>
    <row r="9" customFormat="false" ht="15" hidden="false" customHeight="false" outlineLevel="0" collapsed="false">
      <c r="A9" s="17" t="s">
        <v>63</v>
      </c>
      <c r="B9" s="12" t="n">
        <f aca="false">'1. Assumptions'!$C$5*(1+$C$5)</f>
        <v>106</v>
      </c>
      <c r="C9" s="12" t="n">
        <f aca="false">B9*(1+'1. Assumptions'!$C$7)</f>
        <v>112.36</v>
      </c>
      <c r="D9" s="12" t="n">
        <f aca="false">C9*(1+'1. Assumptions'!$C$7)</f>
        <v>119.1016</v>
      </c>
      <c r="E9" s="12" t="n">
        <f aca="false">D9*(1+'1. Assumptions'!$C$7)</f>
        <v>126.247696</v>
      </c>
      <c r="F9" s="12" t="n">
        <f aca="false">E9*(1+'1. Assumptions'!$C$7)</f>
        <v>133.82255776</v>
      </c>
    </row>
    <row r="10" customFormat="false" ht="15" hidden="false" customHeight="false" outlineLevel="0" collapsed="false">
      <c r="A10" s="17" t="s">
        <v>44</v>
      </c>
      <c r="B10" s="18" t="n">
        <f aca="false">$C$6</f>
        <v>0.22</v>
      </c>
      <c r="C10" s="18" t="n">
        <f aca="false">'1. Assumptions'!$C$6</f>
        <v>0.22</v>
      </c>
      <c r="D10" s="18" t="n">
        <f aca="false">'1. Assumptions'!$C$6</f>
        <v>0.22</v>
      </c>
      <c r="E10" s="18" t="n">
        <f aca="false">'1. Assumptions'!$C$6</f>
        <v>0.22</v>
      </c>
      <c r="F10" s="18" t="n">
        <f aca="false">'1. Assumptions'!$C$6</f>
        <v>0.22</v>
      </c>
    </row>
    <row r="11" customFormat="false" ht="15" hidden="false" customHeight="false" outlineLevel="0" collapsed="false">
      <c r="A11" s="17" t="s">
        <v>64</v>
      </c>
      <c r="B11" s="24" t="n">
        <f aca="false">B9*B10</f>
        <v>23.32</v>
      </c>
      <c r="C11" s="24" t="n">
        <f aca="false">C9*C10</f>
        <v>24.7192</v>
      </c>
      <c r="D11" s="24" t="n">
        <f aca="false">D9*D10</f>
        <v>26.202352</v>
      </c>
      <c r="E11" s="24" t="n">
        <f aca="false">E9*E10</f>
        <v>27.77449312</v>
      </c>
      <c r="F11" s="24" t="n">
        <f aca="false">F9*F10</f>
        <v>29.4409627072</v>
      </c>
    </row>
    <row r="12" customFormat="false" ht="15" hidden="false" customHeight="false" outlineLevel="0" collapsed="false">
      <c r="A12" s="17" t="s">
        <v>65</v>
      </c>
      <c r="B12" s="12" t="n">
        <f aca="false">-B9*'1. Assumptions'!$C$9</f>
        <v>-2.308256</v>
      </c>
      <c r="C12" s="12" t="n">
        <f aca="false">-C9*'1. Assumptions'!$C$9</f>
        <v>-2.44675136</v>
      </c>
      <c r="D12" s="12" t="n">
        <f aca="false">-D9*'1. Assumptions'!$C$9</f>
        <v>-2.5935564416</v>
      </c>
      <c r="E12" s="12" t="n">
        <f aca="false">-E9*'1. Assumptions'!$C$9</f>
        <v>-2.749169828096</v>
      </c>
      <c r="F12" s="12" t="n">
        <f aca="false">-F9*'1. Assumptions'!$C$9</f>
        <v>-2.91412001778176</v>
      </c>
    </row>
    <row r="13" customFormat="false" ht="15" hidden="false" customHeight="false" outlineLevel="0" collapsed="false">
      <c r="A13" s="17" t="s">
        <v>66</v>
      </c>
      <c r="B13" s="12" t="n">
        <f aca="false">-MAX(0,B11-B16-B9*'1. Assumptions'!$C$8)*'1. Assumptions'!$C$10</f>
        <v>-2.2173625</v>
      </c>
      <c r="C13" s="12" t="n">
        <f aca="false">-MAX(0,C11-C16-C9*'1. Assumptions'!$C$8)*'1. Assumptions'!$C$10</f>
        <v>-2.57999901161575</v>
      </c>
      <c r="D13" s="12" t="n">
        <f aca="false">-MAX(0,D11-D16-D9*'1. Assumptions'!$C$8)*'1. Assumptions'!$C$10</f>
        <v>-2.96972931877724</v>
      </c>
      <c r="E13" s="12" t="n">
        <f aca="false">-MAX(0,E11-E16-E9*'1. Assumptions'!$C$8)*'1. Assumptions'!$C$10</f>
        <v>-3.38831991718864</v>
      </c>
      <c r="F13" s="12" t="n">
        <f aca="false">-MAX(0,F11-F16-F9*'1. Assumptions'!$C$8)*'1. Assumptions'!$C$10</f>
        <v>-3.8376470114221</v>
      </c>
    </row>
    <row r="14" customFormat="false" ht="15" hidden="false" customHeight="false" outlineLevel="0" collapsed="false">
      <c r="A14" s="17" t="s">
        <v>67</v>
      </c>
      <c r="B14" s="12" t="n">
        <f aca="false">-MAX(0,B9-'1. Assumptions'!$C$5)*'1. Assumptions'!$C$11</f>
        <v>-0.9</v>
      </c>
      <c r="C14" s="12" t="n">
        <f aca="false">-MAX(0,C9-B9)*'1. Assumptions'!$C$11</f>
        <v>-0.954</v>
      </c>
      <c r="D14" s="12" t="n">
        <f aca="false">-MAX(0,D9-C9)*'1. Assumptions'!$C$11</f>
        <v>-1.01124</v>
      </c>
      <c r="E14" s="12" t="n">
        <f aca="false">-MAX(0,E9-D9)*'1. Assumptions'!$C$11</f>
        <v>-1.0719144</v>
      </c>
      <c r="F14" s="12" t="n">
        <f aca="false">-MAX(0,F9-E9)*'1. Assumptions'!$C$11</f>
        <v>-1.136229264</v>
      </c>
    </row>
    <row r="15" customFormat="false" ht="15" hidden="false" customHeight="false" outlineLevel="0" collapsed="false">
      <c r="A15" s="25" t="s">
        <v>68</v>
      </c>
      <c r="B15" s="24" t="n">
        <f aca="false">SUM(B11:B14)</f>
        <v>17.8943815</v>
      </c>
      <c r="C15" s="24" t="n">
        <f aca="false">SUM(C11:C14)</f>
        <v>18.7384496283843</v>
      </c>
      <c r="D15" s="24" t="n">
        <f aca="false">SUM(D11:D14)</f>
        <v>19.6278262396228</v>
      </c>
      <c r="E15" s="24" t="n">
        <f aca="false">SUM(E11:E14)</f>
        <v>20.5650889747154</v>
      </c>
      <c r="F15" s="24" t="n">
        <f aca="false">SUM(F11:F14)</f>
        <v>21.5529664139961</v>
      </c>
    </row>
    <row r="16" customFormat="false" ht="15" hidden="false" customHeight="false" outlineLevel="0" collapsed="false">
      <c r="A16" s="17" t="s">
        <v>69</v>
      </c>
      <c r="B16" s="12" t="n">
        <f aca="false">B22*'1. Assumptions'!$C$17</f>
        <v>9.68055</v>
      </c>
      <c r="C16" s="12" t="n">
        <f aca="false">C22*'1. Assumptions'!$C$17</f>
        <v>9.343003953537</v>
      </c>
      <c r="D16" s="12" t="n">
        <f aca="false">D22*'1. Assumptions'!$C$17</f>
        <v>8.96386272489103</v>
      </c>
      <c r="E16" s="12" t="n">
        <f aca="false">E22*'1. Assumptions'!$C$17</f>
        <v>8.54006713124544</v>
      </c>
      <c r="F16" s="12" t="n">
        <f aca="false">F22*'1. Assumptions'!$C$17</f>
        <v>8.06835956231161</v>
      </c>
    </row>
    <row r="17" customFormat="false" ht="15" hidden="false" customHeight="false" outlineLevel="0" collapsed="false">
      <c r="A17" s="17" t="s">
        <v>70</v>
      </c>
      <c r="B17" s="12" t="n">
        <f aca="false">'1. Assumptions'!$C$16*'1. Assumptions'!$C$18</f>
        <v>1.375</v>
      </c>
      <c r="C17" s="12" t="n">
        <f aca="false">'1. Assumptions'!$C$16*'1. Assumptions'!$C$18</f>
        <v>1.375</v>
      </c>
      <c r="D17" s="12" t="n">
        <f aca="false">'1. Assumptions'!$C$16*'1. Assumptions'!$C$18</f>
        <v>1.375</v>
      </c>
      <c r="E17" s="12" t="n">
        <f aca="false">'1. Assumptions'!$C$16*'1. Assumptions'!$C$18</f>
        <v>1.375</v>
      </c>
      <c r="F17" s="12" t="n">
        <f aca="false">'1. Assumptions'!$C$16*'1. Assumptions'!$C$18</f>
        <v>1.375</v>
      </c>
    </row>
    <row r="18" customFormat="false" ht="15" hidden="false" customHeight="false" outlineLevel="0" collapsed="false">
      <c r="A18" s="25" t="s">
        <v>71</v>
      </c>
      <c r="B18" s="24" t="n">
        <f aca="false">B16+B17</f>
        <v>11.05555</v>
      </c>
      <c r="C18" s="24" t="n">
        <f aca="false">C16+C17</f>
        <v>10.718003953537</v>
      </c>
      <c r="D18" s="24" t="n">
        <f aca="false">D16+D17</f>
        <v>10.338862724891</v>
      </c>
      <c r="E18" s="24" t="n">
        <f aca="false">E16+E17</f>
        <v>9.91506713124544</v>
      </c>
      <c r="F18" s="24" t="n">
        <f aca="false">F16+F17</f>
        <v>9.44335956231161</v>
      </c>
    </row>
    <row r="19" customFormat="false" ht="15" hidden="false" customHeight="false" outlineLevel="0" collapsed="false">
      <c r="A19" s="25" t="s">
        <v>72</v>
      </c>
      <c r="B19" s="26" t="n">
        <f aca="false">IFERROR((B11+B12+B13)/B18,"")</f>
        <v>1.69999516080159</v>
      </c>
      <c r="C19" s="26" t="n">
        <f aca="false">IFERROR((C11+C12+C13)/C18,"")</f>
        <v>1.83732434824169</v>
      </c>
      <c r="D19" s="26" t="n">
        <f aca="false">IFERROR((D11+D12+D13)/D18,"")</f>
        <v>1.99626078697551</v>
      </c>
      <c r="E19" s="26" t="n">
        <f aca="false">IFERROR((E11+E12+E13)/E18,"")</f>
        <v>2.18223468266095</v>
      </c>
      <c r="F19" s="26" t="n">
        <f aca="false">IFERROR((F11+F12+F13)/F18,"")</f>
        <v>2.4026614181407</v>
      </c>
    </row>
    <row r="20" customFormat="false" ht="15" hidden="false" customHeight="false" outlineLevel="0" collapsed="false">
      <c r="A20" s="17" t="s">
        <v>73</v>
      </c>
      <c r="B20" s="12" t="n">
        <f aca="false">B15-B18</f>
        <v>6.8388315</v>
      </c>
      <c r="C20" s="12" t="n">
        <f aca="false">C15-C18</f>
        <v>8.02044567484725</v>
      </c>
      <c r="D20" s="12" t="n">
        <f aca="false">D15-D18</f>
        <v>9.28896351473173</v>
      </c>
      <c r="E20" s="12" t="n">
        <f aca="false">E15-E18</f>
        <v>10.6500218434699</v>
      </c>
      <c r="F20" s="12" t="n">
        <f aca="false">F15-F18</f>
        <v>12.1096068516845</v>
      </c>
    </row>
    <row r="21" customFormat="false" ht="15" hidden="false" customHeight="false" outlineLevel="0" collapsed="false">
      <c r="A21" s="17" t="s">
        <v>74</v>
      </c>
      <c r="B21" s="12" t="n">
        <f aca="false">-MAX(0,B20)*'1. Assumptions'!$C$19</f>
        <v>-3.41941575</v>
      </c>
      <c r="C21" s="12" t="n">
        <f aca="false">-MAX(0,C20)*'1. Assumptions'!$C$19</f>
        <v>-4.01022283742363</v>
      </c>
      <c r="D21" s="12" t="n">
        <f aca="false">-MAX(0,D20)*'1. Assumptions'!$C$19</f>
        <v>-4.64448175736587</v>
      </c>
      <c r="E21" s="12" t="n">
        <f aca="false">-MAX(0,E20)*'1. Assumptions'!$C$19</f>
        <v>-5.32501092173496</v>
      </c>
      <c r="F21" s="12" t="n">
        <f aca="false">-MAX(0,F20)*'1. Assumptions'!$C$19</f>
        <v>-6.05480342584227</v>
      </c>
    </row>
    <row r="22" customFormat="false" ht="15" hidden="false" customHeight="false" outlineLevel="0" collapsed="false">
      <c r="A22" s="17" t="s">
        <v>75</v>
      </c>
      <c r="B22" s="12" t="n">
        <f aca="false">'1. Assumptions'!$C$16</f>
        <v>137.5</v>
      </c>
      <c r="C22" s="12" t="n">
        <f aca="false">B23</f>
        <v>132.70558425</v>
      </c>
      <c r="D22" s="12" t="n">
        <f aca="false">C23</f>
        <v>127.320361412576</v>
      </c>
      <c r="E22" s="12" t="n">
        <f aca="false">D23</f>
        <v>121.300879655211</v>
      </c>
      <c r="F22" s="12" t="n">
        <f aca="false">E23</f>
        <v>114.600868733476</v>
      </c>
    </row>
    <row r="23" customFormat="false" ht="15" hidden="false" customHeight="false" outlineLevel="0" collapsed="false">
      <c r="A23" s="17" t="s">
        <v>76</v>
      </c>
      <c r="B23" s="12" t="n">
        <f aca="false">MAX(0,B22-B17+B21)</f>
        <v>132.70558425</v>
      </c>
      <c r="C23" s="12" t="n">
        <f aca="false">MAX(0,C22-C17+C21)</f>
        <v>127.320361412576</v>
      </c>
      <c r="D23" s="12" t="n">
        <f aca="false">MAX(0,D22-D17+D21)</f>
        <v>121.300879655211</v>
      </c>
      <c r="E23" s="12" t="n">
        <f aca="false">MAX(0,E22-E17+E21)</f>
        <v>114.600868733476</v>
      </c>
      <c r="F23" s="12" t="n">
        <f aca="false">MAX(0,F22-F17+F21)</f>
        <v>107.171065307633</v>
      </c>
    </row>
    <row r="24" customFormat="false" ht="15" hidden="false" customHeight="false" outlineLevel="0" collapsed="false">
      <c r="A24" s="25" t="s">
        <v>77</v>
      </c>
      <c r="B24" s="27" t="n">
        <f aca="false">IFERROR(B23/B11,"")</f>
        <v>5.69063397298456</v>
      </c>
      <c r="C24" s="27" t="n">
        <f aca="false">IFERROR(C23/C11,"")</f>
        <v>5.15066674538724</v>
      </c>
      <c r="D24" s="27" t="n">
        <f aca="false">IFERROR(D23/D11,"")</f>
        <v>4.62938898214979</v>
      </c>
      <c r="E24" s="27" t="n">
        <f aca="false">IFERROR(E23/E11,"")</f>
        <v>4.12611917842537</v>
      </c>
      <c r="F24" s="27" t="n">
        <f aca="false">IFERROR(F23/F11,"")</f>
        <v>3.64020247481322</v>
      </c>
    </row>
    <row r="25" customFormat="false" ht="15" hidden="false" customHeight="false" outlineLevel="0" collapsed="false">
      <c r="A25" s="17" t="s">
        <v>78</v>
      </c>
      <c r="B25" s="12" t="n">
        <f aca="false">'1. Assumptions'!$C$21+B20+B21</f>
        <v>8.41941575</v>
      </c>
      <c r="C25" s="12" t="n">
        <f aca="false">B25+C20+C21</f>
        <v>12.4296385874236</v>
      </c>
      <c r="D25" s="12" t="n">
        <f aca="false">C25+D20+D21</f>
        <v>17.0741203447895</v>
      </c>
      <c r="E25" s="12" t="n">
        <f aca="false">D25+E20+E21</f>
        <v>22.3991312665245</v>
      </c>
      <c r="F25" s="12" t="n">
        <f aca="false">E25+F20+F21</f>
        <v>28.4539346923667</v>
      </c>
    </row>
    <row r="27" customFormat="false" ht="15" hidden="false" customHeight="true" outlineLevel="0" collapsed="false">
      <c r="A27" s="20" t="s">
        <v>79</v>
      </c>
      <c r="B27" s="20"/>
      <c r="C27" s="20"/>
      <c r="D27" s="20"/>
      <c r="E27" s="20"/>
      <c r="F27" s="20"/>
      <c r="G27" s="20"/>
    </row>
    <row r="28" customFormat="false" ht="15" hidden="false" customHeight="false" outlineLevel="0" collapsed="false">
      <c r="A28" s="20"/>
      <c r="B28" s="20"/>
      <c r="C28" s="20"/>
      <c r="D28" s="20"/>
      <c r="E28" s="20"/>
      <c r="F28" s="20"/>
      <c r="G28" s="20"/>
    </row>
    <row r="29" customFormat="false" ht="15" hidden="false" customHeight="false" outlineLevel="0" collapsed="false">
      <c r="A29" s="20"/>
      <c r="B29" s="20"/>
      <c r="C29" s="20"/>
      <c r="D29" s="20"/>
      <c r="E29" s="20"/>
      <c r="F29" s="20"/>
      <c r="G29" s="20"/>
    </row>
    <row r="30" customFormat="false" ht="15" hidden="false" customHeight="false" outlineLevel="0" collapsed="false">
      <c r="A30" s="20"/>
      <c r="B30" s="20"/>
      <c r="C30" s="20"/>
      <c r="D30" s="20"/>
      <c r="E30" s="20"/>
      <c r="F30" s="20"/>
      <c r="G30" s="20"/>
    </row>
  </sheetData>
  <mergeCells count="1">
    <mergeCell ref="A27:G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5" min="2" style="0" width="16"/>
    <col collapsed="false" customWidth="true" hidden="false" outlineLevel="0" max="6" min="6" style="0" width="46"/>
  </cols>
  <sheetData>
    <row r="1" customFormat="false" ht="17.35" hidden="false" customHeight="false" outlineLevel="0" collapsed="false">
      <c r="A1" s="1" t="s">
        <v>80</v>
      </c>
    </row>
    <row r="2" customFormat="false" ht="15" hidden="false" customHeight="false" outlineLevel="0" collapsed="false">
      <c r="A2" s="2" t="s">
        <v>81</v>
      </c>
    </row>
    <row r="4" customFormat="false" ht="15" hidden="false" customHeight="true" outlineLevel="0" collapsed="false">
      <c r="A4" s="20" t="s">
        <v>82</v>
      </c>
      <c r="B4" s="20"/>
      <c r="C4" s="20"/>
      <c r="D4" s="20"/>
      <c r="E4" s="20"/>
      <c r="F4" s="20"/>
      <c r="G4" s="20"/>
      <c r="H4" s="20"/>
    </row>
    <row r="5" customFormat="false" ht="15" hidden="false" customHeight="false" outlineLevel="0" collapsed="false">
      <c r="A5" s="20"/>
      <c r="B5" s="20"/>
      <c r="C5" s="20"/>
      <c r="D5" s="20"/>
      <c r="E5" s="20"/>
      <c r="F5" s="20"/>
      <c r="G5" s="20"/>
      <c r="H5" s="20"/>
    </row>
    <row r="8" customFormat="false" ht="23.85" hidden="false" customHeight="false" outlineLevel="0" collapsed="false">
      <c r="A8" s="16" t="s">
        <v>42</v>
      </c>
      <c r="B8" s="16" t="s">
        <v>83</v>
      </c>
      <c r="C8" s="16" t="s">
        <v>84</v>
      </c>
      <c r="D8" s="16" t="s">
        <v>85</v>
      </c>
      <c r="E8" s="16" t="s">
        <v>86</v>
      </c>
      <c r="F8" s="16" t="s">
        <v>87</v>
      </c>
    </row>
    <row r="9" customFormat="false" ht="15" hidden="false" customHeight="false" outlineLevel="0" collapsed="false">
      <c r="A9" s="17" t="s">
        <v>46</v>
      </c>
      <c r="B9" s="14"/>
      <c r="C9" s="14"/>
      <c r="D9" s="28" t="n">
        <f aca="false">'1. Assumptions'!$C$25</f>
        <v>1.1</v>
      </c>
      <c r="E9" s="28" t="n">
        <f aca="false">'1. Assumptions'!$C$24</f>
        <v>9.5</v>
      </c>
      <c r="F9" s="25" t="str">
        <f aca="false">IF(B9="","",IF(AND(B9&gt;=D9,C9&lt;=E9),"no breach",IF(B9&lt;D9,"COVERAGE BREACH","LEVERAGE BREACH")))</f>
        <v/>
      </c>
    </row>
    <row r="10" customFormat="false" ht="15" hidden="false" customHeight="false" outlineLevel="0" collapsed="false">
      <c r="A10" s="17" t="s">
        <v>48</v>
      </c>
      <c r="B10" s="14"/>
      <c r="C10" s="14"/>
      <c r="D10" s="28" t="n">
        <f aca="false">'1. Assumptions'!$C$25</f>
        <v>1.1</v>
      </c>
      <c r="E10" s="28" t="n">
        <f aca="false">'1. Assumptions'!$C$24</f>
        <v>9.5</v>
      </c>
      <c r="F10" s="25" t="str">
        <f aca="false">IF(B10="","",IF(AND(B10&gt;=D10,C10&lt;=E10),"no breach",IF(B10&lt;D10,"COVERAGE BREACH","LEVERAGE BREACH")))</f>
        <v/>
      </c>
    </row>
    <row r="11" customFormat="false" ht="15" hidden="false" customHeight="false" outlineLevel="0" collapsed="false">
      <c r="A11" s="17" t="s">
        <v>49</v>
      </c>
      <c r="B11" s="14"/>
      <c r="C11" s="14"/>
      <c r="D11" s="28" t="n">
        <f aca="false">'1. Assumptions'!$C$25</f>
        <v>1.1</v>
      </c>
      <c r="E11" s="28" t="n">
        <f aca="false">'1. Assumptions'!$C$24</f>
        <v>9.5</v>
      </c>
      <c r="F11" s="25" t="str">
        <f aca="false">IF(B11="","",IF(AND(B11&gt;=D11,C11&lt;=E11),"no breach",IF(B11&lt;D11,"COVERAGE BREACH","LEVERAGE BREACH")))</f>
        <v/>
      </c>
    </row>
    <row r="13" customFormat="false" ht="15" hidden="false" customHeight="false" outlineLevel="0" collapsed="false">
      <c r="A13" s="8" t="s">
        <v>88</v>
      </c>
      <c r="B13" s="29" t="n">
        <f aca="false">'2. Model'!B19</f>
        <v>1.69999516080159</v>
      </c>
      <c r="C13" s="29" t="n">
        <f aca="false">'2. Model'!B24</f>
        <v>5.69063397298456</v>
      </c>
      <c r="D13" s="8" t="s">
        <v>89</v>
      </c>
    </row>
    <row r="15" customFormat="false" ht="15" hidden="false" customHeight="false" outlineLevel="0" collapsed="false">
      <c r="A15" s="5" t="s">
        <v>90</v>
      </c>
    </row>
    <row r="16" customFormat="false" ht="15" hidden="false" customHeight="false" outlineLevel="0" collapsed="false">
      <c r="A16" s="16" t="s">
        <v>91</v>
      </c>
      <c r="B16" s="16" t="s">
        <v>46</v>
      </c>
      <c r="C16" s="16" t="s">
        <v>48</v>
      </c>
      <c r="D16" s="16" t="s">
        <v>49</v>
      </c>
    </row>
    <row r="17" customFormat="false" ht="15" hidden="false" customHeight="false" outlineLevel="0" collapsed="false">
      <c r="A17" s="17" t="s">
        <v>92</v>
      </c>
      <c r="B17" s="30" t="str">
        <f aca="false">IF(B9="","",B9-$D$9)</f>
        <v/>
      </c>
      <c r="C17" s="30" t="str">
        <f aca="false">IF(B10="","",B10-$D$9)</f>
        <v/>
      </c>
      <c r="D17" s="30" t="str">
        <f aca="false">IF(B11="","",B11-$D$9)</f>
        <v/>
      </c>
    </row>
    <row r="18" customFormat="false" ht="15" hidden="false" customHeight="false" outlineLevel="0" collapsed="false">
      <c r="A18" s="17" t="s">
        <v>93</v>
      </c>
      <c r="B18" s="30" t="str">
        <f aca="false">IF(B9="","",B9-1)</f>
        <v/>
      </c>
      <c r="C18" s="30" t="str">
        <f aca="false">IF(B10="","",B10-1)</f>
        <v/>
      </c>
      <c r="D18" s="30" t="str">
        <f aca="false">IF(B11="","",B11-1)</f>
        <v/>
      </c>
    </row>
    <row r="19" customFormat="false" ht="15" hidden="false" customHeight="false" outlineLevel="0" collapsed="false">
      <c r="A19" s="21" t="s">
        <v>94</v>
      </c>
      <c r="C19" s="21" t="str">
        <f aca="false">IF(B10="","",IF(B10&gt;1,"yes — the downside clears 1.00x","no"))</f>
        <v/>
      </c>
    </row>
    <row r="20" customFormat="false" ht="15" hidden="false" customHeight="false" outlineLevel="0" collapsed="false">
      <c r="A20" s="21" t="s">
        <v>95</v>
      </c>
      <c r="C20" s="21" t="str">
        <f aca="false">IF(B11="","",IF(B11&gt;1,"yes — the stress clears 1.00x","NO — the stress does not clear"))</f>
        <v/>
      </c>
    </row>
    <row r="22" customFormat="false" ht="15" hidden="false" customHeight="true" outlineLevel="0" collapsed="false">
      <c r="A22" s="20" t="s">
        <v>96</v>
      </c>
      <c r="B22" s="20"/>
      <c r="C22" s="20"/>
      <c r="D22" s="20"/>
      <c r="E22" s="20"/>
      <c r="F22" s="20"/>
    </row>
    <row r="23" customFormat="false" ht="15" hidden="false" customHeight="false" outlineLevel="0" collapsed="false">
      <c r="A23" s="20"/>
      <c r="B23" s="20"/>
      <c r="C23" s="20"/>
      <c r="D23" s="20"/>
      <c r="E23" s="20"/>
      <c r="F23" s="20"/>
    </row>
    <row r="24" customFormat="false" ht="15" hidden="false" customHeight="false" outlineLevel="0" collapsed="false">
      <c r="A24" s="20"/>
      <c r="B24" s="20"/>
      <c r="C24" s="20"/>
      <c r="D24" s="20"/>
      <c r="E24" s="20"/>
      <c r="F24" s="20"/>
    </row>
    <row r="26" customFormat="false" ht="15" hidden="false" customHeight="false" outlineLevel="0" collapsed="false">
      <c r="A26" s="5" t="s">
        <v>97</v>
      </c>
    </row>
    <row r="27" customFormat="false" ht="15" hidden="false" customHeight="true" outlineLevel="0" collapsed="false">
      <c r="A27" s="20" t="s">
        <v>98</v>
      </c>
      <c r="B27" s="20"/>
      <c r="C27" s="20"/>
      <c r="D27" s="20"/>
      <c r="E27" s="20"/>
      <c r="F27" s="20"/>
      <c r="G27" s="20"/>
      <c r="H27" s="20"/>
    </row>
    <row r="28" customFormat="false" ht="15" hidden="false" customHeight="false" outlineLevel="0" collapsed="false">
      <c r="A28" s="20"/>
      <c r="B28" s="20"/>
      <c r="C28" s="20"/>
      <c r="D28" s="20"/>
      <c r="E28" s="20"/>
      <c r="F28" s="20"/>
      <c r="G28" s="20"/>
      <c r="H28" s="20"/>
    </row>
    <row r="29" customFormat="false" ht="15" hidden="false" customHeight="false" outlineLevel="0" collapsed="false">
      <c r="A29" s="20"/>
      <c r="B29" s="20"/>
      <c r="C29" s="20"/>
      <c r="D29" s="20"/>
      <c r="E29" s="20"/>
      <c r="F29" s="20"/>
      <c r="G29" s="20"/>
      <c r="H29" s="20"/>
    </row>
    <row r="32" customFormat="false" ht="23.85" hidden="false" customHeight="false" outlineLevel="0" collapsed="false">
      <c r="A32" s="16" t="s">
        <v>99</v>
      </c>
      <c r="B32" s="16" t="s">
        <v>100</v>
      </c>
      <c r="C32" s="16" t="s">
        <v>101</v>
      </c>
      <c r="D32" s="16" t="s">
        <v>102</v>
      </c>
    </row>
    <row r="33" customFormat="false" ht="15" hidden="false" customHeight="false" outlineLevel="0" collapsed="false">
      <c r="A33" s="31"/>
      <c r="B33" s="10"/>
      <c r="C33" s="32"/>
      <c r="D33" s="32"/>
    </row>
    <row r="34" customFormat="false" ht="15" hidden="false" customHeight="false" outlineLevel="0" collapsed="false">
      <c r="A34" s="31"/>
      <c r="B34" s="10"/>
      <c r="C34" s="32"/>
      <c r="D34" s="32"/>
    </row>
    <row r="35" customFormat="false" ht="15" hidden="false" customHeight="false" outlineLevel="0" collapsed="false">
      <c r="A35" s="31"/>
      <c r="B35" s="10"/>
      <c r="C35" s="32"/>
      <c r="D35" s="32"/>
    </row>
    <row r="36" customFormat="false" ht="15" hidden="false" customHeight="false" outlineLevel="0" collapsed="false">
      <c r="A36" s="31"/>
      <c r="B36" s="10"/>
      <c r="C36" s="32"/>
      <c r="D36" s="32"/>
    </row>
    <row r="37" customFormat="false" ht="15" hidden="false" customHeight="false" outlineLevel="0" collapsed="false">
      <c r="A37" s="31"/>
      <c r="B37" s="10"/>
      <c r="C37" s="32"/>
      <c r="D37" s="32"/>
    </row>
    <row r="39" customFormat="false" ht="15" hidden="false" customHeight="false" outlineLevel="0" collapsed="false">
      <c r="A39" s="21" t="s">
        <v>103</v>
      </c>
      <c r="B39" s="33" t="n">
        <f aca="false">IFERROR(SUMIFS(B33:B37,C33:C37,"No",D33:D37,"No"),"")</f>
        <v>0</v>
      </c>
      <c r="C39" s="21" t="str">
        <f aca="false">IF(B39="","",IF(B39=0,"none","THIS IS THE HOLE IN THE DOWNSIDE CASE"))</f>
        <v>none</v>
      </c>
    </row>
  </sheetData>
  <mergeCells count="3">
    <mergeCell ref="A4:H5"/>
    <mergeCell ref="A22:F24"/>
    <mergeCell ref="A27:H29"/>
  </mergeCells>
  <dataValidations count="1">
    <dataValidation allowBlank="true" errorStyle="stop" operator="between" showDropDown="false" showErrorMessage="false" showInputMessage="false" sqref="C33:D37"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2"/>
    <col collapsed="false" customWidth="true" hidden="false" outlineLevel="0" max="3" min="2" style="0" width="18"/>
    <col collapsed="false" customWidth="true" hidden="false" outlineLevel="0" max="4" min="4" style="0" width="14"/>
    <col collapsed="false" customWidth="true" hidden="false" outlineLevel="0" max="5" min="5" style="0" width="44"/>
  </cols>
  <sheetData>
    <row r="1" customFormat="false" ht="17.35" hidden="false" customHeight="false" outlineLevel="0" collapsed="false">
      <c r="A1" s="1" t="s">
        <v>104</v>
      </c>
    </row>
    <row r="5" customFormat="false" ht="15" hidden="false" customHeight="false" outlineLevel="0" collapsed="false">
      <c r="A5" s="16" t="s">
        <v>105</v>
      </c>
      <c r="B5" s="16" t="s">
        <v>106</v>
      </c>
      <c r="C5" s="16" t="s">
        <v>107</v>
      </c>
      <c r="D5" s="16" t="s">
        <v>108</v>
      </c>
      <c r="E5" s="16" t="s">
        <v>109</v>
      </c>
    </row>
    <row r="6" customFormat="false" ht="15" hidden="false" customHeight="false" outlineLevel="0" collapsed="false">
      <c r="A6" s="17" t="s">
        <v>110</v>
      </c>
      <c r="B6" s="34" t="n">
        <v>6.25</v>
      </c>
      <c r="C6" s="28" t="n">
        <f aca="false">'1. Assumptions'!C15</f>
        <v>6.25</v>
      </c>
      <c r="D6" s="25" t="str">
        <f aca="false">IF(C6="","",IF(ABS(C6-B6)&lt;=0.005,"OK","OUT"))</f>
        <v>OK</v>
      </c>
      <c r="E6" s="35" t="s">
        <v>111</v>
      </c>
    </row>
    <row r="7" customFormat="false" ht="15" hidden="false" customHeight="false" outlineLevel="0" collapsed="false">
      <c r="A7" s="17" t="s">
        <v>112</v>
      </c>
      <c r="B7" s="36" t="n">
        <v>0.22</v>
      </c>
      <c r="C7" s="37" t="n">
        <f aca="false">'1. Assumptions'!C6</f>
        <v>0.22</v>
      </c>
      <c r="D7" s="25" t="str">
        <f aca="false">IF(C7="","",IF(ABS(C7-B7)&lt;=0.0005,"OK","OUT"))</f>
        <v>OK</v>
      </c>
      <c r="E7" s="35" t="s">
        <v>111</v>
      </c>
    </row>
    <row r="8" customFormat="false" ht="15" hidden="false" customHeight="false" outlineLevel="0" collapsed="false">
      <c r="A8" s="17" t="s">
        <v>20</v>
      </c>
      <c r="B8" s="36" t="n">
        <v>0.06</v>
      </c>
      <c r="C8" s="37" t="n">
        <f aca="false">'1. Assumptions'!C7</f>
        <v>0.06</v>
      </c>
      <c r="D8" s="25" t="str">
        <f aca="false">IF(C8="","",IF(ABS(C8-B8)&lt;=0.0005,"OK","OUT"))</f>
        <v>OK</v>
      </c>
      <c r="E8" s="35" t="s">
        <v>111</v>
      </c>
    </row>
    <row r="9" customFormat="false" ht="15" hidden="false" customHeight="false" outlineLevel="0" collapsed="false">
      <c r="A9" s="17" t="s">
        <v>113</v>
      </c>
      <c r="B9" s="36" t="n">
        <v>-0.12</v>
      </c>
      <c r="C9" s="37" t="n">
        <f aca="false">'1. Assumptions'!B31</f>
        <v>-0.12</v>
      </c>
      <c r="D9" s="25" t="str">
        <f aca="false">IF(C9="","",IF(ABS(C9-B9)&lt;=0.0005,"OK","OUT"))</f>
        <v>OK</v>
      </c>
      <c r="E9" s="35" t="s">
        <v>111</v>
      </c>
    </row>
    <row r="10" customFormat="false" ht="15" hidden="false" customHeight="false" outlineLevel="0" collapsed="false">
      <c r="A10" s="17" t="s">
        <v>114</v>
      </c>
      <c r="B10" s="36" t="n">
        <v>0.17</v>
      </c>
      <c r="C10" s="37" t="n">
        <f aca="false">'1. Assumptions'!C31</f>
        <v>0.17</v>
      </c>
      <c r="D10" s="25" t="str">
        <f aca="false">IF(C10="","",IF(ABS(C10-B10)&lt;=0.0005,"OK","OUT"))</f>
        <v>OK</v>
      </c>
      <c r="E10" s="35" t="s">
        <v>111</v>
      </c>
    </row>
    <row r="11" customFormat="false" ht="15" hidden="false" customHeight="false" outlineLevel="0" collapsed="false">
      <c r="A11" s="17" t="s">
        <v>115</v>
      </c>
      <c r="B11" s="34" t="n">
        <v>1.7</v>
      </c>
      <c r="C11" s="28" t="n">
        <f aca="false">'3. Cases'!B9</f>
        <v>0</v>
      </c>
      <c r="D11" s="25" t="str">
        <f aca="false">IF(C11="","",IF(ABS(C11-B11)&lt;=0.005,"OK","OUT"))</f>
        <v/>
      </c>
      <c r="E11" s="35" t="s">
        <v>116</v>
      </c>
    </row>
    <row r="12" customFormat="false" ht="15" hidden="false" customHeight="false" outlineLevel="0" collapsed="false">
      <c r="A12" s="17" t="s">
        <v>117</v>
      </c>
      <c r="B12" s="34" t="n">
        <v>1.15</v>
      </c>
      <c r="C12" s="28" t="n">
        <f aca="false">'3. Cases'!B10</f>
        <v>0</v>
      </c>
      <c r="D12" s="25" t="str">
        <f aca="false">IF(C12="","",IF(ABS(C12-B12)&lt;=0.005,"OK","OUT"))</f>
        <v/>
      </c>
      <c r="E12" s="35" t="s">
        <v>116</v>
      </c>
    </row>
    <row r="13" customFormat="false" ht="15" hidden="false" customHeight="false" outlineLevel="0" collapsed="false">
      <c r="A13" s="17" t="s">
        <v>118</v>
      </c>
      <c r="B13" s="34" t="n">
        <v>1</v>
      </c>
      <c r="C13" s="28" t="n">
        <f aca="false">'3. Cases'!B10</f>
        <v>0</v>
      </c>
      <c r="D13" s="25" t="str">
        <f aca="false">IF(C13="","",IF(C13&gt;1,"OK","OUT"))</f>
        <v/>
      </c>
      <c r="E13" s="35" t="s">
        <v>119</v>
      </c>
    </row>
    <row r="16" customFormat="false" ht="15" hidden="false" customHeight="false" outlineLevel="0" collapsed="false">
      <c r="A16" s="21" t="s">
        <v>120</v>
      </c>
      <c r="B16" s="38" t="n">
        <f aca="false">COUNTIF(D6:D13,"OK")</f>
        <v>5</v>
      </c>
      <c r="C16" s="38" t="n">
        <f aca="false">COUNTA(D6:D13)</f>
        <v>8</v>
      </c>
    </row>
    <row r="18" customFormat="false" ht="15" hidden="false" customHeight="true" outlineLevel="0" collapsed="false">
      <c r="A18" s="20" t="s">
        <v>121</v>
      </c>
      <c r="B18" s="20"/>
      <c r="C18" s="20"/>
      <c r="D18" s="20"/>
      <c r="E18" s="20"/>
    </row>
    <row r="19" customFormat="false" ht="15" hidden="false" customHeight="false" outlineLevel="0" collapsed="false">
      <c r="A19" s="20"/>
      <c r="B19" s="20"/>
      <c r="C19" s="20"/>
      <c r="D19" s="20"/>
      <c r="E19" s="20"/>
    </row>
    <row r="20" customFormat="false" ht="15" hidden="false" customHeight="false" outlineLevel="0" collapsed="false">
      <c r="A20" s="20"/>
      <c r="B20" s="20"/>
      <c r="C20" s="20"/>
      <c r="D20" s="20"/>
      <c r="E20" s="20"/>
    </row>
    <row r="21" customFormat="false" ht="15" hidden="false" customHeight="false" outlineLevel="0" collapsed="false">
      <c r="A21" s="20"/>
      <c r="B21" s="20"/>
      <c r="C21" s="20"/>
      <c r="D21" s="20"/>
      <c r="E21" s="20"/>
    </row>
  </sheetData>
  <mergeCells count="1">
    <mergeCell ref="A18:E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2026-08-12T16:56:44Z</dcterms:created>
  <dc:creator>openpyxl</dc:creator>
  <dc:description/>
  <dc:language>en-US</dc:language>
  <cp:lastModifiedBy/>
  <dcterms:modified xsi:type="dcterms:W3CDTF">2026-08-12T16:56:44Z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