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Case 1" sheetId="2" state="visible" r:id="rId4"/>
    <sheet name="2. Case 2" sheetId="3" state="visible" r:id="rId5"/>
    <sheet name="3. Case 3" sheetId="4" state="visible" r:id="rId6"/>
    <sheet name="4. Checks"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<sst xmlns="http://schemas.openxmlformats.org/spreadsheetml/2006/main" count="245" uniqueCount="170">
  <si>
    <t xml:space="preserve">Practice Cases with Solutions</t>
  </si>
  <si>
    <t xml:space="preserve">Appendix C of Private Markets Performance, as a live model.</t>
  </si>
  <si>
    <t xml:space="preserve">How to use this file</t>
  </si>
  <si>
    <t xml:space="preserve">Each case sheet has three columns: what the case gives you, a blue column for YOUR answer, and the live solution. Fill in the blue column first. The status column tells you whether you agree with the model, not whether you agree with the book.</t>
  </si>
  <si>
    <t xml:space="preserve">Do not read the solution columns first. The cases are timed for a reason — 45, 30 and 60 minutes — and the third one is the case the whole book is for.</t>
  </si>
  <si>
    <t xml:space="preserve">The three cases</t>
  </si>
  <si>
    <t xml:space="preserve">Case 1 — measuring one fund. Multiples, both rates, Kaplan-Schoar, PME+. Every published figure is reproduced exactly here.</t>
  </si>
  <si>
    <t xml:space="preserve">Case 2 — aggregating a portfolio. Pooled against simple average against capital-weighted. The lesson is that you never average internal rates of return.</t>
  </si>
  <si>
    <t xml:space="preserve">Case 3 — comparing two managers, one of which uses a subscription facility. The number that decides it was available on request and was in neither fundraising document.</t>
  </si>
  <si>
    <t xml:space="preserve">What is reproducible and what is not</t>
  </si>
  <si>
    <t xml:space="preserve">Case 1 publishes its full cash flow series, so every figure in it is recomputed from first principles and matches to the last basis point.</t>
  </si>
  <si>
    <t xml:space="preserve">Cases 2 and 3 publish summary figures without the underlying flow timing. Everything that can be derived from what is published is derived live. Everything that cannot is shown as given data, labelled as such, with a coherence test rather than a false reconstruction. Sheet 4 lists exactly which is which.</t>
  </si>
  <si>
    <t xml:space="preserve">Case 1 — Measuring one fund</t>
  </si>
  <si>
    <t xml:space="preserve">45 minutes. A 2018-vintage fund; cash flows in millions.</t>
  </si>
  <si>
    <t xml:space="preserve">Given</t>
  </si>
  <si>
    <t xml:space="preserve">Year</t>
  </si>
  <si>
    <t xml:space="preserve">Contributions</t>
  </si>
  <si>
    <t xml:space="preserve">Distributions</t>
  </si>
  <si>
    <t xml:space="preserve">Index return</t>
  </si>
  <si>
    <t xml:space="preserve">Index level</t>
  </si>
  <si>
    <t xml:space="preserve">FV factor</t>
  </si>
  <si>
    <t xml:space="preserve">FV contributions</t>
  </si>
  <si>
    <t xml:space="preserve">FV distributions</t>
  </si>
  <si>
    <t xml:space="preserve">Direct Alpha flow</t>
  </si>
  <si>
    <t xml:space="preserve">Realized flows</t>
  </si>
  <si>
    <t xml:space="preserve">Flows incl. NAV</t>
  </si>
  <si>
    <t xml:space="preserve">PME+ scaled flows</t>
  </si>
  <si>
    <t xml:space="preserve">Total</t>
  </si>
  <si>
    <t xml:space="preserve">Residual value at year 9, net of accrued carried interest</t>
  </si>
  <si>
    <t xml:space="preserve">Required</t>
  </si>
  <si>
    <t xml:space="preserve">DPI, RVPI, TVPI and the realized share; the since-inception IRR and the IRR excluding residual value; the Kaplan-Schoar PME; the PME+ lambda and rate; and one sentence on what the fund achieved.</t>
  </si>
  <si>
    <t xml:space="preserve">Your answer, and the solution</t>
  </si>
  <si>
    <t xml:space="preserve">Measure</t>
  </si>
  <si>
    <t xml:space="preserve">Your answer</t>
  </si>
  <si>
    <t xml:space="preserve">Solution (live)</t>
  </si>
  <si>
    <t xml:space="preserve">Book</t>
  </si>
  <si>
    <t xml:space="preserve">Variance</t>
  </si>
  <si>
    <t xml:space="preserve">Status</t>
  </si>
  <si>
    <t xml:space="preserve">Paid-in capital</t>
  </si>
  <si>
    <t xml:space="preserve">Total value</t>
  </si>
  <si>
    <t xml:space="preserve">DPI</t>
  </si>
  <si>
    <t xml:space="preserve">RVPI</t>
  </si>
  <si>
    <t xml:space="preserve">TVPI</t>
  </si>
  <si>
    <t xml:space="preserve">Realized share</t>
  </si>
  <si>
    <t xml:space="preserve">Since-inception IRR</t>
  </si>
  <si>
    <t xml:space="preserve">IRR excluding residual value</t>
  </si>
  <si>
    <t xml:space="preserve">Contribution of the mark</t>
  </si>
  <si>
    <t xml:space="preserve">Index level at year 9</t>
  </si>
  <si>
    <t xml:space="preserve">Index annualized return</t>
  </si>
  <si>
    <t xml:space="preserve">FV of contributions at the index</t>
  </si>
  <si>
    <t xml:space="preserve">FV of distributions at the index</t>
  </si>
  <si>
    <t xml:space="preserve">FV of distributions plus residual value</t>
  </si>
  <si>
    <t xml:space="preserve">Kaplan-Schoar PME</t>
  </si>
  <si>
    <t xml:space="preserve">PME+ lambda</t>
  </si>
  <si>
    <t xml:space="preserve">PME+ rate</t>
  </si>
  <si>
    <t xml:space="preserve">Direct Alpha</t>
  </si>
  <si>
    <t xml:space="preserve">The sentence</t>
  </si>
  <si>
    <t xml:space="preserve">The fund returned 11.07 percent net with 83 percent of value realized, and produced roughly 24 percent more terminal wealth than the index on the same cash flows — about 3.8 percent a year of geometric excess, which clears an index-plus-300 hurdle but not by a wide margin once the institution's own costs are added.</t>
  </si>
  <si>
    <t xml:space="preserve">Case 2 — Aggregating a portfolio</t>
  </si>
  <si>
    <t xml:space="preserve">30 minutes. Three funds of the same vintage and strategy.</t>
  </si>
  <si>
    <t xml:space="preserve">Fund</t>
  </si>
  <si>
    <t xml:space="preserve">Capital called</t>
  </si>
  <si>
    <t xml:space="preserve">Residual value</t>
  </si>
  <si>
    <t xml:space="preserve">IRR</t>
  </si>
  <si>
    <t xml:space="preserve">A</t>
  </si>
  <si>
    <t xml:space="preserve">B</t>
  </si>
  <si>
    <t xml:space="preserve">C</t>
  </si>
  <si>
    <t xml:space="preserve">The flows follow the same annual pattern as Case 1, scaled.</t>
  </si>
  <si>
    <t xml:space="preserve">Aggregate multiples — derived entirely from what the case publishes</t>
  </si>
  <si>
    <t xml:space="preserve">Aggregate TVPI</t>
  </si>
  <si>
    <t xml:space="preserve">Aggregate DPI</t>
  </si>
  <si>
    <t xml:space="preserve">Reconstructed flows — the assumption is visible, and it is the only one in this file</t>
  </si>
  <si>
    <t xml:space="preserve">The case gives each fund's totals and its IRR, but not its year-by-year flows. This block rebuilds them on the stated basis: contributions follow the Case 1 pattern scaled to each fund's paid-in capital, distributions follow the Case 1 pattern scaled to each fund's distribution total, and the residual value lands at year 9. Change the pattern and every figure below moves — which is the point: the reconstruction is an assumption, not a fact, and this sheet says so rather than hiding it.</t>
  </si>
  <si>
    <t xml:space="preserve">Pattern — contributions</t>
  </si>
  <si>
    <t xml:space="preserve">Pattern — distributions</t>
  </si>
  <si>
    <t xml:space="preserve">Fund A net</t>
  </si>
  <si>
    <t xml:space="preserve">Fund B net</t>
  </si>
  <si>
    <t xml:space="preserve">Fund C net</t>
  </si>
  <si>
    <t xml:space="preserve">Portfolio net</t>
  </si>
  <si>
    <t xml:space="preserve">The three ways of aggregating</t>
  </si>
  <si>
    <t xml:space="preserve">Method</t>
  </si>
  <si>
    <t xml:space="preserve">Reproducible from published data?</t>
  </si>
  <si>
    <t xml:space="preserve">Pooled IRR — all flows combined</t>
  </si>
  <si>
    <t xml:space="preserve">No — needs the flow timing, which the case does not publish</t>
  </si>
  <si>
    <t xml:space="preserve">Simple average of the three IRRs</t>
  </si>
  <si>
    <t xml:space="preserve">Yes — exactly</t>
  </si>
  <si>
    <t xml:space="preserve">Capital-weighted average</t>
  </si>
  <si>
    <t xml:space="preserve">Simple average less pooled</t>
  </si>
  <si>
    <t xml:space="preserve">book</t>
  </si>
  <si>
    <t xml:space="preserve">DECLARED VARIANCE</t>
  </si>
  <si>
    <t xml:space="preserve">The pooled IRR computed from the reconstructed flows is about 10 basis points above the book's 11.78 percent, and the three per-fund IRRs come out 5 to 34 basis points above the published ones, for the same reason: the reconstruction cannot recover timing the case never published. The two averages, which depend only on published data, reproduce exactly. None of this touches the lesson — the simple average sits roughly 180 to 195 basis points above the pooled figure on either set of flows, because fund C carries 6 percent of the capital and a third of the weight in an average.</t>
  </si>
  <si>
    <t xml:space="preserve">The lesson</t>
  </si>
  <si>
    <t xml:space="preserve">Never average internal rates of return. It takes the same amount of work to pool them, and the difference on a real portfolio is frequently larger than this. The capital-weighted average is a close approximation and still not the same number, because it weights by capital rather than by capital-time.</t>
  </si>
  <si>
    <t xml:space="preserve">Case 3 — Comparing two managers</t>
  </si>
  <si>
    <t xml:space="preserve">60 minutes. The case the whole book is for.</t>
  </si>
  <si>
    <t xml:space="preserve">Two managers are raising successor funds and the institution can commit to one. Manager X uses a subscription facility; calls have been deferred by roughly twenty-four months at a carrying cost of 4.5 percent. Manager Y uses none. Same vintage, same strategy, same index, which returned about 7.7 percent a year over the period.</t>
  </si>
  <si>
    <t xml:space="preserve">Figure</t>
  </si>
  <si>
    <t xml:space="preserve">X as reported</t>
  </si>
  <si>
    <t xml:space="preserve">X without facility</t>
  </si>
  <si>
    <t xml:space="preserve">Y</t>
  </si>
  <si>
    <t xml:space="preserve">Net IRR — given by the case</t>
  </si>
  <si>
    <t xml:space="preserve">Total value is the same either way — a facility changes when capital is called, not what the fund returned in cash and marks.</t>
  </si>
  <si>
    <t xml:space="preserve">Step one — restate on a comparable basis</t>
  </si>
  <si>
    <t xml:space="preserve">Your answer — X unlevered</t>
  </si>
  <si>
    <t xml:space="preserve">Your answer — Y</t>
  </si>
  <si>
    <t xml:space="preserve">Book — X unlev.</t>
  </si>
  <si>
    <t xml:space="preserve">Book — Y</t>
  </si>
  <si>
    <t xml:space="preserve">X as reported TVPI — the book's 1.622x</t>
  </si>
  <si>
    <t xml:space="preserve">X as reported DPI — the book's 1.334x</t>
  </si>
  <si>
    <t xml:space="preserve">What the facility did</t>
  </si>
  <si>
    <t xml:space="preserve">Live</t>
  </si>
  <si>
    <t xml:space="preserve">Basis points the facility added to X's rate</t>
  </si>
  <si>
    <t xml:space="preserve">Multiple the facility subtracted from X</t>
  </si>
  <si>
    <t xml:space="preserve">Extra paid-in capital carried by the facility</t>
  </si>
  <si>
    <t xml:space="preserve">Implied financing cost on the deferred calls</t>
  </si>
  <si>
    <t xml:space="preserve">24 months of deferral at 4.5 percent compounds to 9.2 percent — which is exactly the gap between X's reported paid-in capital and its unlevered figure. The case is internally consistent.</t>
  </si>
  <si>
    <t xml:space="preserve">Step three — the public comparison</t>
  </si>
  <si>
    <t xml:space="preserve">X unlevered</t>
  </si>
  <si>
    <t xml:space="preserve">Source</t>
  </si>
  <si>
    <t xml:space="preserve">Given by the case — needs flow timing the case does not publish</t>
  </si>
  <si>
    <t xml:space="preserve">Given by the case</t>
  </si>
  <si>
    <t xml:space="preserve">Coherence test on the figures the case gives rather than derives</t>
  </si>
  <si>
    <t xml:space="preserve">Direct Alpha should equal (1 + the fund's rate) / (1 + the index's rate on that fund's own cash flow timing) − 1. Inverting it recovers the PME+ rate each manager was measured against. If those two implied rates are wildly different from each other, the case's figures do not hang together and should not be quoted.</t>
  </si>
  <si>
    <t xml:space="preserve">Implied PME+ rate  =  (1 + IRR) / (1 + Direct Alpha) − 1</t>
  </si>
  <si>
    <t xml:space="preserve">Difference between the two implied rates</t>
  </si>
  <si>
    <t xml:space="preserve">Coherent?</t>
  </si>
  <si>
    <t xml:space="preserve">For reference — the PME+ rate on the chapter 19 fund</t>
  </si>
  <si>
    <t xml:space="preserve">Step four — the conclusion</t>
  </si>
  <si>
    <t xml:space="preserve">Apparent advantage to X on the headline rate</t>
  </si>
  <si>
    <t xml:space="preserve">Advantage to Y once the facility is removed</t>
  </si>
  <si>
    <t xml:space="preserve">Gap on the multiple, which the facility never touched</t>
  </si>
  <si>
    <t xml:space="preserve">Gap on the realized share</t>
  </si>
  <si>
    <t xml:space="preserve">The two sentences</t>
  </si>
  <si>
    <t xml:space="preserve">On a like-for-like basis with the subscription facility removed, Manager Y returned 12.15 percent against Manager X's 10.50 percent, on a higher multiple (1.98x against 1.77x), with more of the value realized (90 percent against 82 percent) and a wider margin over the public index (Direct Alpha 4.77 percent a year against 3.39 percent). Manager X's higher reported rate is a financing effect, not a performance one, and the multiple — which the facility slightly reduces rather than improves — has favored Manager Y throughout.</t>
  </si>
  <si>
    <t xml:space="preserve">The number that decided this comparison was available on request and was not in either fundraising document. Nothing here required a model. It required knowing which question to ask.</t>
  </si>
  <si>
    <t xml:space="preserve">What is reproduced, and what is given</t>
  </si>
  <si>
    <t xml:space="preserve">Read this before quoting anything from cases 2 and 3.</t>
  </si>
  <si>
    <t xml:space="preserve">This file</t>
  </si>
  <si>
    <t xml:space="preserve">Basis</t>
  </si>
  <si>
    <t xml:space="preserve">Case 1 — every published figure</t>
  </si>
  <si>
    <t xml:space="preserve">—</t>
  </si>
  <si>
    <t xml:space="preserve">Reproduced from the published cash flow series. See sheet 1, column E of the answer block.</t>
  </si>
  <si>
    <t xml:space="preserve">Case 1 — since-inception IRR</t>
  </si>
  <si>
    <t xml:space="preserve">Case 1 — Kaplan-Schoar PME</t>
  </si>
  <si>
    <t xml:space="preserve">Case 1 — PME+ rate</t>
  </si>
  <si>
    <t xml:space="preserve">Case 1 — Direct Alpha</t>
  </si>
  <si>
    <t xml:space="preserve">Case 2 — aggregate TVPI</t>
  </si>
  <si>
    <t xml:space="preserve">Live, from published totals</t>
  </si>
  <si>
    <t xml:space="preserve">Case 2 — aggregate DPI</t>
  </si>
  <si>
    <t xml:space="preserve">Case 2 — simple average of the IRRs</t>
  </si>
  <si>
    <t xml:space="preserve">Live, from published IRRs</t>
  </si>
  <si>
    <t xml:space="preserve">Case 2 — capital-weighted average</t>
  </si>
  <si>
    <t xml:space="preserve">Case 2 — pooled IRR</t>
  </si>
  <si>
    <t xml:space="preserve">RECONSTRUCTED — flow timing is not published. Variance declared on sheet 2.</t>
  </si>
  <si>
    <t xml:space="preserve">Case 3 — X unlevered TVPI</t>
  </si>
  <si>
    <t xml:space="preserve">Case 3 — X unlevered DPI</t>
  </si>
  <si>
    <t xml:space="preserve">Case 3 — X as reported TVPI</t>
  </si>
  <si>
    <t xml:space="preserve">Case 3 — X as reported DPI</t>
  </si>
  <si>
    <t xml:space="preserve">Case 3 — Y TVPI</t>
  </si>
  <si>
    <t xml:space="preserve">Case 3 — Y DPI</t>
  </si>
  <si>
    <t xml:space="preserve">Case 3 — X realized share</t>
  </si>
  <si>
    <t xml:space="preserve">Case 3 — Y realized share</t>
  </si>
  <si>
    <t xml:space="preserve">Case 3 — facility effect on the rate</t>
  </si>
  <si>
    <t xml:space="preserve">Live, from the two published rates</t>
  </si>
  <si>
    <t xml:space="preserve">Case 3 — facility effect on the multiple</t>
  </si>
  <si>
    <t xml:space="preserve">Case 3 — Kaplan-Schoar PME, both managers</t>
  </si>
  <si>
    <t xml:space="preserve">GIVEN by the case. Coherence-tested on sheet 3, not recomputed.</t>
  </si>
  <si>
    <t xml:space="preserve">Case 3 — Direct Alpha, both managers</t>
  </si>
  <si>
    <t xml:space="preserve">Figures matching the book</t>
  </si>
  <si>
    <t xml:space="preserve">Declared variances</t>
  </si>
</sst>
</file>

<file path=xl/styles.xml><?xml version="1.0" encoding="utf-8"?>
<styleSheet xmlns="http://schemas.openxmlformats.org/spreadsheetml/2006/main">
  <numFmts count="11">
    <numFmt numFmtId="164" formatCode="General"/>
    <numFmt numFmtId="165" formatCode="0"/>
    <numFmt numFmtId="166" formatCode="#,##0.0;\(#,##0.0\);\-"/>
    <numFmt numFmtId="167" formatCode="0.0%"/>
    <numFmt numFmtId="168" formatCode="0.0000"/>
    <numFmt numFmtId="169" formatCode="0.000\x"/>
    <numFmt numFmtId="170" formatCode="0.00%"/>
    <numFmt numFmtId="171" formatCode="#,##0&quot; bp&quot;"/>
    <numFmt numFmtId="172" formatCode="0.0"/>
    <numFmt numFmtId="173" formatCode="0.000"/>
    <numFmt numFmtId="174" formatCode="0&quot; pts&quot;"/>
  </numFmts>
  <fonts count="14">
    <font>
      <sz val="11"/>
      <color theme="1"/>
      <name val="Calibri"/>
      <family val="2"/>
      <charset val="1"/>
    </font>
    <font>
      <sz val="10"/>
      <name val="Arial"/>
      <family val="0"/>
    </font>
    <font>
      <sz val="10"/>
      <name val="Arial"/>
      <family val="0"/>
    </font>
    <font>
      <sz val="10"/>
      <name val="Arial"/>
      <family val="0"/>
    </font>
    <font>
      <b val="true"/>
      <sz val="14"/>
      <color rgb="FF14171D"/>
      <name val="Arial"/>
      <family val="0"/>
      <charset val="1"/>
    </font>
    <font>
      <i val="true"/>
      <sz val="9"/>
      <color rgb="FF555555"/>
      <name val="Arial"/>
      <family val="0"/>
      <charset val="1"/>
    </font>
    <font>
      <b val="true"/>
      <sz val="11"/>
      <color rgb="FF14171D"/>
      <name val="Arial"/>
      <family val="0"/>
      <charset val="1"/>
    </font>
    <font>
      <sz val="10"/>
      <name val="Arial"/>
      <family val="0"/>
      <charset val="1"/>
    </font>
    <font>
      <b val="true"/>
      <sz val="10"/>
      <color rgb="FFFFFFFF"/>
      <name val="Arial"/>
      <family val="0"/>
      <charset val="1"/>
    </font>
    <font>
      <sz val="10"/>
      <color rgb="FF0000FF"/>
      <name val="Arial"/>
      <family val="0"/>
      <charset val="1"/>
    </font>
    <font>
      <b val="true"/>
      <sz val="10"/>
      <name val="Arial"/>
      <family val="0"/>
      <charset val="1"/>
    </font>
    <font>
      <sz val="9"/>
      <color rgb="FF555555"/>
      <name val="Arial"/>
      <family val="0"/>
      <charset val="1"/>
    </font>
    <font>
      <sz val="10"/>
      <color rgb="FF008000"/>
      <name val="Arial"/>
      <family val="0"/>
      <charset val="1"/>
    </font>
    <font>
      <b val="true"/>
      <sz val="10"/>
      <color rgb="FF8A1C1C"/>
      <name val="Arial"/>
      <family val="0"/>
      <charset val="1"/>
    </font>
  </fonts>
  <fills count="5">
    <fill>
      <patternFill patternType="none"/>
    </fill>
    <fill>
      <patternFill patternType="gray125"/>
    </fill>
    <fill>
      <patternFill patternType="solid">
        <fgColor rgb="FF14171D"/>
        <bgColor rgb="FF000000"/>
      </patternFill>
    </fill>
    <fill>
      <patternFill patternType="solid">
        <fgColor rgb="FFFFFF00"/>
        <bgColor rgb="FFFFFF00"/>
      </patternFill>
    </fill>
    <fill>
      <patternFill patternType="solid">
        <fgColor rgb="FFEAF1FB"/>
        <bgColor rgb="FFFFFFFF"/>
      </patternFill>
    </fill>
  </fills>
  <borders count="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thin">
        <color rgb="FF333333"/>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bottom" textRotation="0" wrapText="tru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7" fontId="9" fillId="0" borderId="1" xfId="0" applyFont="true" applyBorder="true" applyAlignment="false" applyProtection="false">
      <alignment horizontal="general" vertical="bottom" textRotation="0" wrapText="false" indent="0" shrinkToFit="false"/>
      <protection locked="true" hidden="false"/>
    </xf>
    <xf numFmtId="168" fontId="9" fillId="0" borderId="1" xfId="0" applyFont="true" applyBorder="true" applyAlignment="false" applyProtection="false">
      <alignment horizontal="general" vertical="bottom" textRotation="0" wrapText="false" indent="0" shrinkToFit="false"/>
      <protection locked="true" hidden="false"/>
    </xf>
    <xf numFmtId="168" fontId="7" fillId="0"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6" fontId="10" fillId="0" borderId="2"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6" fontId="9" fillId="3"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6" fontId="9" fillId="4"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9" fontId="9" fillId="4" borderId="1" xfId="0" applyFont="true" applyBorder="true" applyAlignment="false" applyProtection="false">
      <alignment horizontal="general" vertical="bottom" textRotation="0" wrapText="false" indent="0" shrinkToFit="false"/>
      <protection locked="true" hidden="false"/>
    </xf>
    <xf numFmtId="169" fontId="10" fillId="0" borderId="1" xfId="0" applyFont="true" applyBorder="true" applyAlignment="false" applyProtection="false">
      <alignment horizontal="general" vertical="bottom" textRotation="0" wrapText="false" indent="0" shrinkToFit="false"/>
      <protection locked="true" hidden="false"/>
    </xf>
    <xf numFmtId="169" fontId="9" fillId="0" borderId="1" xfId="0" applyFont="true" applyBorder="true" applyAlignment="false" applyProtection="false">
      <alignment horizontal="general" vertical="bottom" textRotation="0" wrapText="false" indent="0" shrinkToFit="false"/>
      <protection locked="true" hidden="false"/>
    </xf>
    <xf numFmtId="169" fontId="7" fillId="0" borderId="1" xfId="0" applyFont="true" applyBorder="true" applyAlignment="false" applyProtection="false">
      <alignment horizontal="general" vertical="bottom" textRotation="0" wrapText="false" indent="0" shrinkToFit="false"/>
      <protection locked="true" hidden="false"/>
    </xf>
    <xf numFmtId="167" fontId="9" fillId="4" borderId="1" xfId="0" applyFont="true" applyBorder="true" applyAlignment="false" applyProtection="false">
      <alignment horizontal="general" vertical="bottom" textRotation="0" wrapText="false" indent="0" shrinkToFit="false"/>
      <protection locked="true" hidden="false"/>
    </xf>
    <xf numFmtId="167" fontId="10" fillId="0" borderId="1" xfId="0" applyFont="true" applyBorder="true" applyAlignment="false" applyProtection="false">
      <alignment horizontal="general" vertical="bottom" textRotation="0" wrapText="false" indent="0" shrinkToFit="false"/>
      <protection locked="true" hidden="false"/>
    </xf>
    <xf numFmtId="167" fontId="7" fillId="0" borderId="1" xfId="0" applyFont="true" applyBorder="true" applyAlignment="false" applyProtection="false">
      <alignment horizontal="general" vertical="bottom" textRotation="0" wrapText="false" indent="0" shrinkToFit="false"/>
      <protection locked="true" hidden="false"/>
    </xf>
    <xf numFmtId="170" fontId="9" fillId="4" borderId="1" xfId="0" applyFont="true" applyBorder="true" applyAlignment="false" applyProtection="false">
      <alignment horizontal="general" vertical="bottom" textRotation="0" wrapText="false" indent="0" shrinkToFit="false"/>
      <protection locked="true" hidden="false"/>
    </xf>
    <xf numFmtId="170" fontId="10" fillId="0" borderId="1" xfId="0" applyFont="true" applyBorder="true" applyAlignment="false" applyProtection="false">
      <alignment horizontal="general" vertical="bottom" textRotation="0" wrapText="false" indent="0" shrinkToFit="false"/>
      <protection locked="true" hidden="false"/>
    </xf>
    <xf numFmtId="170" fontId="9" fillId="0" borderId="1" xfId="0" applyFont="true" applyBorder="true" applyAlignment="false" applyProtection="false">
      <alignment horizontal="general" vertical="bottom" textRotation="0" wrapText="false" indent="0" shrinkToFit="false"/>
      <protection locked="true" hidden="false"/>
    </xf>
    <xf numFmtId="170" fontId="7" fillId="0" borderId="1" xfId="0" applyFont="true" applyBorder="true" applyAlignment="false" applyProtection="false">
      <alignment horizontal="general" vertical="bottom" textRotation="0" wrapText="false" indent="0" shrinkToFit="false"/>
      <protection locked="true" hidden="false"/>
    </xf>
    <xf numFmtId="171" fontId="9" fillId="4" borderId="1" xfId="0" applyFont="true" applyBorder="true" applyAlignment="false" applyProtection="false">
      <alignment horizontal="general" vertical="bottom" textRotation="0" wrapText="false" indent="0" shrinkToFit="false"/>
      <protection locked="true" hidden="false"/>
    </xf>
    <xf numFmtId="171" fontId="10" fillId="0" borderId="1" xfId="0" applyFont="true" applyBorder="true" applyAlignment="false" applyProtection="false">
      <alignment horizontal="general" vertical="bottom" textRotation="0" wrapText="false" indent="0" shrinkToFit="false"/>
      <protection locked="true" hidden="false"/>
    </xf>
    <xf numFmtId="171" fontId="9" fillId="0" borderId="1" xfId="0" applyFont="true" applyBorder="true" applyAlignment="false" applyProtection="false">
      <alignment horizontal="general" vertical="bottom" textRotation="0" wrapText="false" indent="0" shrinkToFit="false"/>
      <protection locked="true" hidden="false"/>
    </xf>
    <xf numFmtId="171" fontId="7" fillId="0" borderId="1" xfId="0" applyFont="true" applyBorder="true" applyAlignment="false" applyProtection="false">
      <alignment horizontal="general" vertical="bottom" textRotation="0" wrapText="false" indent="0" shrinkToFit="false"/>
      <protection locked="true" hidden="false"/>
    </xf>
    <xf numFmtId="172" fontId="9" fillId="4" borderId="1" xfId="0" applyFont="true" applyBorder="true" applyAlignment="false" applyProtection="false">
      <alignment horizontal="general" vertical="bottom" textRotation="0" wrapText="false" indent="0" shrinkToFit="false"/>
      <protection locked="true" hidden="false"/>
    </xf>
    <xf numFmtId="172" fontId="10" fillId="0" borderId="1" xfId="0" applyFont="true" applyBorder="true" applyAlignment="false" applyProtection="false">
      <alignment horizontal="general" vertical="bottom" textRotation="0" wrapText="false" indent="0" shrinkToFit="false"/>
      <protection locked="true" hidden="false"/>
    </xf>
    <xf numFmtId="172" fontId="9" fillId="0" borderId="1" xfId="0" applyFont="true" applyBorder="true" applyAlignment="false" applyProtection="false">
      <alignment horizontal="general" vertical="bottom" textRotation="0" wrapText="false" indent="0" shrinkToFit="false"/>
      <protection locked="true" hidden="false"/>
    </xf>
    <xf numFmtId="172" fontId="7" fillId="0" borderId="1" xfId="0" applyFont="true" applyBorder="true" applyAlignment="false" applyProtection="false">
      <alignment horizontal="general" vertical="bottom" textRotation="0" wrapText="false" indent="0" shrinkToFit="false"/>
      <protection locked="true" hidden="false"/>
    </xf>
    <xf numFmtId="173" fontId="9" fillId="4" borderId="1" xfId="0" applyFont="true" applyBorder="true" applyAlignment="false" applyProtection="false">
      <alignment horizontal="general" vertical="bottom" textRotation="0" wrapText="false" indent="0" shrinkToFit="false"/>
      <protection locked="true" hidden="false"/>
    </xf>
    <xf numFmtId="173" fontId="10" fillId="0" borderId="1" xfId="0" applyFont="true" applyBorder="true" applyAlignment="false" applyProtection="false">
      <alignment horizontal="general" vertical="bottom" textRotation="0" wrapText="false" indent="0" shrinkToFit="false"/>
      <protection locked="true" hidden="false"/>
    </xf>
    <xf numFmtId="173" fontId="9" fillId="0" borderId="1" xfId="0" applyFont="true" applyBorder="true" applyAlignment="false" applyProtection="false">
      <alignment horizontal="general" vertical="bottom" textRotation="0" wrapText="false" indent="0" shrinkToFit="false"/>
      <protection locked="true" hidden="false"/>
    </xf>
    <xf numFmtId="173" fontId="7" fillId="0" borderId="1" xfId="0" applyFont="true" applyBorder="true" applyAlignment="false" applyProtection="false">
      <alignment horizontal="general" vertical="bottom" textRotation="0" wrapText="false" indent="0" shrinkToFit="false"/>
      <protection locked="true" hidden="false"/>
    </xf>
    <xf numFmtId="168" fontId="9" fillId="4" borderId="1" xfId="0" applyFont="true" applyBorder="true" applyAlignment="false" applyProtection="false">
      <alignment horizontal="general" vertical="bottom" textRotation="0" wrapText="false" indent="0" shrinkToFit="false"/>
      <protection locked="true" hidden="false"/>
    </xf>
    <xf numFmtId="168" fontId="10" fillId="0"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71" fontId="10" fillId="0" borderId="0" xfId="0" applyFont="true" applyBorder="false" applyAlignment="false" applyProtection="false">
      <alignment horizontal="general" vertical="bottom" textRotation="0" wrapText="false" indent="0" shrinkToFit="false"/>
      <protection locked="true" hidden="false"/>
    </xf>
    <xf numFmtId="171" fontId="9"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9" fontId="10" fillId="0" borderId="0" xfId="0" applyFont="true" applyBorder="false" applyAlignment="false" applyProtection="false">
      <alignment horizontal="general" vertical="bottom" textRotation="0" wrapText="false" indent="0" shrinkToFit="false"/>
      <protection locked="true" hidden="false"/>
    </xf>
    <xf numFmtId="169" fontId="9" fillId="0" borderId="0" xfId="0" applyFont="true" applyBorder="false" applyAlignment="false" applyProtection="false">
      <alignment horizontal="general" vertical="bottom" textRotation="0" wrapText="false" indent="0" shrinkToFit="false"/>
      <protection locked="true" hidden="false"/>
    </xf>
    <xf numFmtId="174" fontId="10" fillId="0" borderId="1" xfId="0" applyFont="true" applyBorder="true" applyAlignment="false" applyProtection="false">
      <alignment horizontal="general" vertical="bottom" textRotation="0" wrapText="false" indent="0" shrinkToFit="false"/>
      <protection locked="true" hidden="false"/>
    </xf>
    <xf numFmtId="174" fontId="9" fillId="0" borderId="1" xfId="0" applyFont="true" applyBorder="true" applyAlignment="false" applyProtection="false">
      <alignment horizontal="general" vertical="bottom" textRotation="0" wrapText="false" indent="0" shrinkToFit="false"/>
      <protection locked="true" hidden="false"/>
    </xf>
    <xf numFmtId="170" fontId="12" fillId="0" borderId="1" xfId="0" applyFont="true" applyBorder="true" applyAlignment="false" applyProtection="false">
      <alignment horizontal="general" vertical="bottom" textRotation="0" wrapText="false" indent="0" shrinkToFit="false"/>
      <protection locked="true" hidden="false"/>
    </xf>
    <xf numFmtId="173" fontId="12" fillId="0" borderId="1" xfId="0" applyFont="true" applyBorder="true" applyAlignment="false" applyProtection="false">
      <alignment horizontal="general" vertical="bottom" textRotation="0" wrapText="false" indent="0" shrinkToFit="false"/>
      <protection locked="true" hidden="false"/>
    </xf>
    <xf numFmtId="169" fontId="12" fillId="0" borderId="1" xfId="0" applyFont="true" applyBorder="true" applyAlignment="false" applyProtection="false">
      <alignment horizontal="general" vertical="bottom" textRotation="0" wrapText="false" indent="0" shrinkToFit="false"/>
      <protection locked="true" hidden="false"/>
    </xf>
    <xf numFmtId="167" fontId="12" fillId="0" borderId="1" xfId="0" applyFont="true" applyBorder="true" applyAlignment="false" applyProtection="false">
      <alignment horizontal="general" vertical="bottom" textRotation="0" wrapText="false" indent="0" shrinkToFit="false"/>
      <protection locked="true" hidden="false"/>
    </xf>
    <xf numFmtId="171" fontId="12" fillId="0" borderId="1" xfId="0" applyFont="true" applyBorder="tru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FFFCC"/>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14171D"/>
      <rgbColor rgb="FF333300"/>
      <rgbColor rgb="FF8A1C1C"/>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15" hidden="false" customHeight="false" outlineLevel="0" collapsed="false">
      <c r="A5" s="3" t="s">
        <v>2</v>
      </c>
    </row>
    <row r="6" customFormat="false" ht="23.85" hidden="false" customHeight="false" outlineLevel="0" collapsed="false">
      <c r="A6" s="4" t="s">
        <v>3</v>
      </c>
    </row>
    <row r="8" customFormat="false" ht="23.85" hidden="false" customHeight="false" outlineLevel="0" collapsed="false">
      <c r="A8" s="4" t="s">
        <v>4</v>
      </c>
    </row>
    <row r="10" customFormat="false" ht="15" hidden="false" customHeight="false" outlineLevel="0" collapsed="false">
      <c r="A10" s="3" t="s">
        <v>5</v>
      </c>
    </row>
    <row r="11" customFormat="false" ht="15" hidden="false" customHeight="false" outlineLevel="0" collapsed="false">
      <c r="A11" s="4" t="s">
        <v>6</v>
      </c>
    </row>
    <row r="12" customFormat="false" ht="23.85" hidden="false" customHeight="false" outlineLevel="0" collapsed="false">
      <c r="A12" s="4" t="s">
        <v>7</v>
      </c>
    </row>
    <row r="13" customFormat="false" ht="23.85" hidden="false" customHeight="false" outlineLevel="0" collapsed="false">
      <c r="A13" s="4" t="s">
        <v>8</v>
      </c>
    </row>
    <row r="15" customFormat="false" ht="15" hidden="false" customHeight="false" outlineLevel="0" collapsed="false">
      <c r="A15" s="3" t="s">
        <v>9</v>
      </c>
    </row>
    <row r="16" customFormat="false" ht="15" hidden="false" customHeight="false" outlineLevel="0" collapsed="false">
      <c r="A16" s="4" t="s">
        <v>10</v>
      </c>
    </row>
    <row r="17" customFormat="false" ht="35.05" hidden="false" customHeight="false" outlineLevel="0" collapsed="false">
      <c r="A17" s="4" t="s">
        <v>11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9" min="2" style="0" width="14"/>
    <col collapsed="false" customWidth="true" hidden="false" outlineLevel="0" max="12" min="10" style="0" width="15"/>
  </cols>
  <sheetData>
    <row r="1" customFormat="false" ht="17.35" hidden="false" customHeight="false" outlineLevel="0" collapsed="false">
      <c r="A1" s="1" t="s">
        <v>12</v>
      </c>
    </row>
    <row r="2" customFormat="false" ht="15" hidden="false" customHeight="false" outlineLevel="0" collapsed="false">
      <c r="A2" s="2" t="s">
        <v>13</v>
      </c>
    </row>
    <row r="4" customFormat="false" ht="15" hidden="false" customHeight="false" outlineLevel="0" collapsed="false">
      <c r="A4" s="5" t="s">
        <v>14</v>
      </c>
    </row>
    <row r="5" customFormat="false" ht="23.85" hidden="false" customHeight="false" outlineLevel="0" collapsed="false">
      <c r="A5" s="6" t="s">
        <v>15</v>
      </c>
      <c r="B5" s="6" t="s">
        <v>16</v>
      </c>
      <c r="C5" s="6" t="s">
        <v>17</v>
      </c>
      <c r="D5" s="6" t="s">
        <v>18</v>
      </c>
      <c r="E5" s="6" t="s">
        <v>19</v>
      </c>
      <c r="F5" s="6" t="s">
        <v>20</v>
      </c>
      <c r="G5" s="6" t="s">
        <v>21</v>
      </c>
      <c r="H5" s="6" t="s">
        <v>22</v>
      </c>
      <c r="I5" s="6" t="s">
        <v>23</v>
      </c>
      <c r="J5" s="6" t="s">
        <v>24</v>
      </c>
      <c r="K5" s="6" t="s">
        <v>25</v>
      </c>
      <c r="L5" s="6" t="s">
        <v>26</v>
      </c>
    </row>
    <row r="6" customFormat="false" ht="15" hidden="false" customHeight="false" outlineLevel="0" collapsed="false">
      <c r="A6" s="7" t="n">
        <v>0</v>
      </c>
      <c r="B6" s="8" t="n">
        <v>60</v>
      </c>
      <c r="C6" s="8" t="n">
        <v>0</v>
      </c>
      <c r="D6" s="9"/>
      <c r="E6" s="10" t="n">
        <v>100</v>
      </c>
      <c r="F6" s="11" t="n">
        <f aca="false">$E$15/E6</f>
        <v>1.94410636851006</v>
      </c>
      <c r="G6" s="12" t="n">
        <f aca="false">B6*F6</f>
        <v>116.646382110603</v>
      </c>
      <c r="H6" s="12" t="n">
        <f aca="false">C6*F6</f>
        <v>0</v>
      </c>
      <c r="I6" s="12" t="n">
        <f aca="false">(C6-B6)*F6</f>
        <v>-116.646382110603</v>
      </c>
      <c r="J6" s="12" t="n">
        <f aca="false">C6-B6</f>
        <v>-60</v>
      </c>
      <c r="K6" s="12" t="n">
        <f aca="false">J6</f>
        <v>-60</v>
      </c>
      <c r="L6" s="12" t="n">
        <f aca="false">C6*$C$41-B6</f>
        <v>-60</v>
      </c>
    </row>
    <row r="7" customFormat="false" ht="15" hidden="false" customHeight="false" outlineLevel="0" collapsed="false">
      <c r="A7" s="7" t="n">
        <v>1</v>
      </c>
      <c r="B7" s="8" t="n">
        <v>75</v>
      </c>
      <c r="C7" s="8" t="n">
        <v>0</v>
      </c>
      <c r="D7" s="9" t="n">
        <v>0.09</v>
      </c>
      <c r="E7" s="11" t="n">
        <f aca="false">E6*(1+D7)</f>
        <v>109</v>
      </c>
      <c r="F7" s="11" t="n">
        <f aca="false">$E$15/E7</f>
        <v>1.78358382432115</v>
      </c>
      <c r="G7" s="12" t="n">
        <f aca="false">B7*F7</f>
        <v>133.768786824086</v>
      </c>
      <c r="H7" s="12" t="n">
        <f aca="false">C7*F7</f>
        <v>0</v>
      </c>
      <c r="I7" s="12" t="n">
        <f aca="false">(C7-B7)*F7</f>
        <v>-133.768786824086</v>
      </c>
      <c r="J7" s="12" t="n">
        <f aca="false">C7-B7</f>
        <v>-75</v>
      </c>
      <c r="K7" s="12" t="n">
        <f aca="false">J7</f>
        <v>-75</v>
      </c>
      <c r="L7" s="12" t="n">
        <f aca="false">C7*$C$41-B7</f>
        <v>-75</v>
      </c>
    </row>
    <row r="8" customFormat="false" ht="15" hidden="false" customHeight="false" outlineLevel="0" collapsed="false">
      <c r="A8" s="7" t="n">
        <v>2</v>
      </c>
      <c r="B8" s="8" t="n">
        <v>60</v>
      </c>
      <c r="C8" s="8" t="n">
        <v>0</v>
      </c>
      <c r="D8" s="9" t="n">
        <v>0.12</v>
      </c>
      <c r="E8" s="11" t="n">
        <f aca="false">E7*(1+D8)</f>
        <v>122.08</v>
      </c>
      <c r="F8" s="11" t="n">
        <f aca="false">$E$15/E8</f>
        <v>1.5924855574296</v>
      </c>
      <c r="G8" s="12" t="n">
        <f aca="false">B8*F8</f>
        <v>95.549133445776</v>
      </c>
      <c r="H8" s="12" t="n">
        <f aca="false">C8*F8</f>
        <v>0</v>
      </c>
      <c r="I8" s="12" t="n">
        <f aca="false">(C8-B8)*F8</f>
        <v>-95.549133445776</v>
      </c>
      <c r="J8" s="12" t="n">
        <f aca="false">C8-B8</f>
        <v>-60</v>
      </c>
      <c r="K8" s="12" t="n">
        <f aca="false">J8</f>
        <v>-60</v>
      </c>
      <c r="L8" s="12" t="n">
        <f aca="false">C8*$C$41-B8</f>
        <v>-60</v>
      </c>
    </row>
    <row r="9" customFormat="false" ht="15" hidden="false" customHeight="false" outlineLevel="0" collapsed="false">
      <c r="A9" s="7" t="n">
        <v>3</v>
      </c>
      <c r="B9" s="8" t="n">
        <v>45</v>
      </c>
      <c r="C9" s="8" t="n">
        <v>0</v>
      </c>
      <c r="D9" s="9" t="n">
        <v>-0.05</v>
      </c>
      <c r="E9" s="11" t="n">
        <f aca="false">E8*(1+D9)</f>
        <v>115.976</v>
      </c>
      <c r="F9" s="11" t="n">
        <f aca="false">$E$15/E9</f>
        <v>1.676300586768</v>
      </c>
      <c r="G9" s="12" t="n">
        <f aca="false">B9*F9</f>
        <v>75.43352640456</v>
      </c>
      <c r="H9" s="12" t="n">
        <f aca="false">C9*F9</f>
        <v>0</v>
      </c>
      <c r="I9" s="12" t="n">
        <f aca="false">(C9-B9)*F9</f>
        <v>-75.43352640456</v>
      </c>
      <c r="J9" s="12" t="n">
        <f aca="false">C9-B9</f>
        <v>-45</v>
      </c>
      <c r="K9" s="12" t="n">
        <f aca="false">J9</f>
        <v>-45</v>
      </c>
      <c r="L9" s="12" t="n">
        <f aca="false">C9*$C$41-B9</f>
        <v>-45</v>
      </c>
    </row>
    <row r="10" customFormat="false" ht="15" hidden="false" customHeight="false" outlineLevel="0" collapsed="false">
      <c r="A10" s="7" t="n">
        <v>4</v>
      </c>
      <c r="B10" s="8" t="n">
        <v>30</v>
      </c>
      <c r="C10" s="8" t="n">
        <v>0</v>
      </c>
      <c r="D10" s="9" t="n">
        <v>0.18</v>
      </c>
      <c r="E10" s="11" t="n">
        <f aca="false">E9*(1+D10)</f>
        <v>136.85168</v>
      </c>
      <c r="F10" s="11" t="n">
        <f aca="false">$E$15/E10</f>
        <v>1.4205937176</v>
      </c>
      <c r="G10" s="12" t="n">
        <f aca="false">B10*F10</f>
        <v>42.617811528</v>
      </c>
      <c r="H10" s="12" t="n">
        <f aca="false">C10*F10</f>
        <v>0</v>
      </c>
      <c r="I10" s="12" t="n">
        <f aca="false">(C10-B10)*F10</f>
        <v>-42.617811528</v>
      </c>
      <c r="J10" s="12" t="n">
        <f aca="false">C10-B10</f>
        <v>-30</v>
      </c>
      <c r="K10" s="12" t="n">
        <f aca="false">J10</f>
        <v>-30</v>
      </c>
      <c r="L10" s="12" t="n">
        <f aca="false">C10*$C$41-B10</f>
        <v>-30</v>
      </c>
    </row>
    <row r="11" customFormat="false" ht="15" hidden="false" customHeight="false" outlineLevel="0" collapsed="false">
      <c r="A11" s="7" t="n">
        <v>5</v>
      </c>
      <c r="B11" s="8" t="n">
        <v>0</v>
      </c>
      <c r="C11" s="8" t="n">
        <v>40</v>
      </c>
      <c r="D11" s="9" t="n">
        <v>0.14</v>
      </c>
      <c r="E11" s="11" t="n">
        <f aca="false">E10*(1+D11)</f>
        <v>156.0109152</v>
      </c>
      <c r="F11" s="11" t="n">
        <f aca="false">$E$15/E11</f>
        <v>1.24613484</v>
      </c>
      <c r="G11" s="12" t="n">
        <f aca="false">B11*F11</f>
        <v>0</v>
      </c>
      <c r="H11" s="12" t="n">
        <f aca="false">C11*F11</f>
        <v>49.8453936</v>
      </c>
      <c r="I11" s="12" t="n">
        <f aca="false">(C11-B11)*F11</f>
        <v>49.8453936</v>
      </c>
      <c r="J11" s="12" t="n">
        <f aca="false">C11-B11</f>
        <v>40</v>
      </c>
      <c r="K11" s="12" t="n">
        <f aca="false">J11</f>
        <v>40</v>
      </c>
      <c r="L11" s="12" t="n">
        <f aca="false">C11*$C$41-B11</f>
        <v>30.9540224145787</v>
      </c>
    </row>
    <row r="12" customFormat="false" ht="15" hidden="false" customHeight="false" outlineLevel="0" collapsed="false">
      <c r="A12" s="7" t="n">
        <v>6</v>
      </c>
      <c r="B12" s="8" t="n">
        <v>0</v>
      </c>
      <c r="C12" s="8" t="n">
        <v>90</v>
      </c>
      <c r="D12" s="9" t="n">
        <v>-0.14</v>
      </c>
      <c r="E12" s="11" t="n">
        <f aca="false">E11*(1+D12)</f>
        <v>134.169387072</v>
      </c>
      <c r="F12" s="11" t="n">
        <f aca="false">$E$15/E12</f>
        <v>1.448994</v>
      </c>
      <c r="G12" s="12" t="n">
        <f aca="false">B12*F12</f>
        <v>0</v>
      </c>
      <c r="H12" s="12" t="n">
        <f aca="false">C12*F12</f>
        <v>130.40946</v>
      </c>
      <c r="I12" s="12" t="n">
        <f aca="false">(C12-B12)*F12</f>
        <v>130.40946</v>
      </c>
      <c r="J12" s="12" t="n">
        <f aca="false">C12-B12</f>
        <v>90</v>
      </c>
      <c r="K12" s="12" t="n">
        <f aca="false">J12</f>
        <v>90</v>
      </c>
      <c r="L12" s="12" t="n">
        <f aca="false">C12*$C$41-B12</f>
        <v>69.646550432802</v>
      </c>
    </row>
    <row r="13" customFormat="false" ht="15" hidden="false" customHeight="false" outlineLevel="0" collapsed="false">
      <c r="A13" s="7" t="n">
        <v>7</v>
      </c>
      <c r="B13" s="8" t="n">
        <v>0</v>
      </c>
      <c r="C13" s="8" t="n">
        <v>120</v>
      </c>
      <c r="D13" s="9" t="n">
        <v>0.22</v>
      </c>
      <c r="E13" s="11" t="n">
        <f aca="false">E12*(1+D13)</f>
        <v>163.68665222784</v>
      </c>
      <c r="F13" s="11" t="n">
        <f aca="false">$E$15/E13</f>
        <v>1.1877</v>
      </c>
      <c r="G13" s="12" t="n">
        <f aca="false">B13*F13</f>
        <v>0</v>
      </c>
      <c r="H13" s="12" t="n">
        <f aca="false">C13*F13</f>
        <v>142.524</v>
      </c>
      <c r="I13" s="12" t="n">
        <f aca="false">(C13-B13)*F13</f>
        <v>142.524</v>
      </c>
      <c r="J13" s="12" t="n">
        <f aca="false">C13-B13</f>
        <v>120</v>
      </c>
      <c r="K13" s="12" t="n">
        <f aca="false">J13</f>
        <v>120</v>
      </c>
      <c r="L13" s="12" t="n">
        <f aca="false">C13*$C$41-B13</f>
        <v>92.862067243736</v>
      </c>
    </row>
    <row r="14" customFormat="false" ht="15" hidden="false" customHeight="false" outlineLevel="0" collapsed="false">
      <c r="A14" s="7" t="n">
        <v>8</v>
      </c>
      <c r="B14" s="8" t="n">
        <v>0</v>
      </c>
      <c r="C14" s="8" t="n">
        <v>100</v>
      </c>
      <c r="D14" s="9" t="n">
        <v>0.11</v>
      </c>
      <c r="E14" s="11" t="n">
        <f aca="false">E13*(1+D14)</f>
        <v>181.692183972902</v>
      </c>
      <c r="F14" s="11" t="n">
        <f aca="false">$E$15/E14</f>
        <v>1.07</v>
      </c>
      <c r="G14" s="12" t="n">
        <f aca="false">B14*F14</f>
        <v>0</v>
      </c>
      <c r="H14" s="12" t="n">
        <f aca="false">C14*F14</f>
        <v>107</v>
      </c>
      <c r="I14" s="12" t="n">
        <f aca="false">(C14-B14)*F14</f>
        <v>107</v>
      </c>
      <c r="J14" s="12" t="n">
        <f aca="false">C14-B14</f>
        <v>100</v>
      </c>
      <c r="K14" s="12" t="n">
        <f aca="false">J14</f>
        <v>100</v>
      </c>
      <c r="L14" s="12" t="n">
        <f aca="false">C14*$C$41-B14</f>
        <v>77.3850560364466</v>
      </c>
    </row>
    <row r="15" customFormat="false" ht="15" hidden="false" customHeight="false" outlineLevel="0" collapsed="false">
      <c r="A15" s="7" t="n">
        <v>9</v>
      </c>
      <c r="B15" s="8" t="n">
        <v>0</v>
      </c>
      <c r="C15" s="8" t="n">
        <v>60</v>
      </c>
      <c r="D15" s="9" t="n">
        <v>0.07</v>
      </c>
      <c r="E15" s="11" t="n">
        <f aca="false">E14*(1+D15)</f>
        <v>194.410636851006</v>
      </c>
      <c r="F15" s="11" t="n">
        <f aca="false">$E$15/E15</f>
        <v>1</v>
      </c>
      <c r="G15" s="12" t="n">
        <f aca="false">B15*F15</f>
        <v>0</v>
      </c>
      <c r="H15" s="12" t="n">
        <f aca="false">C15*F15</f>
        <v>60</v>
      </c>
      <c r="I15" s="12" t="n">
        <f aca="false">(C15-B15)*F15+$B$17</f>
        <v>145</v>
      </c>
      <c r="J15" s="12" t="n">
        <f aca="false">C15-B15</f>
        <v>60</v>
      </c>
      <c r="K15" s="12" t="n">
        <f aca="false">J15+$B$17</f>
        <v>145</v>
      </c>
      <c r="L15" s="12" t="n">
        <f aca="false">C15*$C$41-B15+$B$17</f>
        <v>131.431033621868</v>
      </c>
    </row>
    <row r="16" customFormat="false" ht="15" hidden="false" customHeight="false" outlineLevel="0" collapsed="false">
      <c r="A16" s="13" t="s">
        <v>27</v>
      </c>
      <c r="B16" s="14" t="n">
        <f aca="false">SUM(B6:B15)</f>
        <v>270</v>
      </c>
      <c r="C16" s="14" t="n">
        <f aca="false">SUM(C6:C15)</f>
        <v>410</v>
      </c>
      <c r="G16" s="14" t="n">
        <f aca="false">SUM(G6:G15)</f>
        <v>464.015640313026</v>
      </c>
      <c r="H16" s="14" t="n">
        <f aca="false">SUM(H6:H15)</f>
        <v>489.7788536</v>
      </c>
    </row>
    <row r="17" customFormat="false" ht="15" hidden="false" customHeight="false" outlineLevel="0" collapsed="false">
      <c r="A17" s="15" t="s">
        <v>28</v>
      </c>
      <c r="B17" s="16" t="n">
        <v>85</v>
      </c>
    </row>
    <row r="19" customFormat="false" ht="15" hidden="false" customHeight="false" outlineLevel="0" collapsed="false">
      <c r="A19" s="5" t="s">
        <v>29</v>
      </c>
    </row>
    <row r="20" customFormat="false" ht="15" hidden="false" customHeight="true" outlineLevel="0" collapsed="false">
      <c r="A20" s="17" t="s">
        <v>30</v>
      </c>
      <c r="B20" s="17"/>
      <c r="C20" s="17"/>
      <c r="D20" s="17"/>
      <c r="E20" s="17"/>
      <c r="F20" s="17"/>
      <c r="G20" s="17"/>
      <c r="H20" s="17"/>
    </row>
    <row r="21" customFormat="false" ht="15" hidden="false" customHeight="false" outlineLevel="0" collapsed="false">
      <c r="A21" s="17"/>
      <c r="B21" s="17"/>
      <c r="C21" s="17"/>
      <c r="D21" s="17"/>
      <c r="E21" s="17"/>
      <c r="F21" s="17"/>
      <c r="G21" s="17"/>
      <c r="H21" s="17"/>
    </row>
    <row r="23" customFormat="false" ht="15" hidden="false" customHeight="false" outlineLevel="0" collapsed="false">
      <c r="A23" s="5" t="s">
        <v>31</v>
      </c>
    </row>
    <row r="24" customFormat="false" ht="15" hidden="false" customHeight="false" outlineLevel="0" collapsed="false">
      <c r="A24" s="6" t="s">
        <v>32</v>
      </c>
      <c r="B24" s="6" t="s">
        <v>33</v>
      </c>
      <c r="C24" s="6" t="s">
        <v>34</v>
      </c>
      <c r="D24" s="6" t="s">
        <v>35</v>
      </c>
      <c r="E24" s="6" t="s">
        <v>36</v>
      </c>
      <c r="F24" s="6" t="s">
        <v>37</v>
      </c>
    </row>
    <row r="25" customFormat="false" ht="15" hidden="false" customHeight="false" outlineLevel="0" collapsed="false">
      <c r="A25" s="18" t="s">
        <v>38</v>
      </c>
      <c r="B25" s="19"/>
      <c r="C25" s="20" t="n">
        <f aca="false">B16</f>
        <v>270</v>
      </c>
      <c r="D25" s="8" t="n">
        <v>270</v>
      </c>
      <c r="E25" s="12" t="n">
        <f aca="false">IFERROR(C25-D25,"")</f>
        <v>0</v>
      </c>
      <c r="F25" s="21" t="str">
        <f aca="false">IF(B25="","",IF(ABS(B25-C25)&lt;=0.05,"agrees","check yours"))</f>
        <v/>
      </c>
    </row>
    <row r="26" customFormat="false" ht="15" hidden="false" customHeight="false" outlineLevel="0" collapsed="false">
      <c r="A26" s="18" t="s">
        <v>17</v>
      </c>
      <c r="B26" s="19"/>
      <c r="C26" s="20" t="n">
        <f aca="false">C16</f>
        <v>410</v>
      </c>
      <c r="D26" s="8" t="n">
        <v>410</v>
      </c>
      <c r="E26" s="12" t="n">
        <f aca="false">IFERROR(C26-D26,"")</f>
        <v>0</v>
      </c>
      <c r="F26" s="21" t="str">
        <f aca="false">IF(B26="","",IF(ABS(B26-C26)&lt;=0.05,"agrees","check yours"))</f>
        <v/>
      </c>
    </row>
    <row r="27" customFormat="false" ht="15" hidden="false" customHeight="false" outlineLevel="0" collapsed="false">
      <c r="A27" s="18" t="s">
        <v>39</v>
      </c>
      <c r="B27" s="19"/>
      <c r="C27" s="20" t="n">
        <f aca="false">C16+B17</f>
        <v>495</v>
      </c>
      <c r="D27" s="8" t="n">
        <v>495</v>
      </c>
      <c r="E27" s="12" t="n">
        <f aca="false">IFERROR(C27-D27,"")</f>
        <v>0</v>
      </c>
      <c r="F27" s="21" t="str">
        <f aca="false">IF(B27="","",IF(ABS(B27-C27)&lt;=0.05,"agrees","check yours"))</f>
        <v/>
      </c>
    </row>
    <row r="28" customFormat="false" ht="15" hidden="false" customHeight="false" outlineLevel="0" collapsed="false">
      <c r="A28" s="18" t="s">
        <v>40</v>
      </c>
      <c r="B28" s="22"/>
      <c r="C28" s="23" t="n">
        <f aca="false">IFERROR(C16/B16,"")</f>
        <v>1.51851851851852</v>
      </c>
      <c r="D28" s="24" t="n">
        <v>1.519</v>
      </c>
      <c r="E28" s="25" t="n">
        <f aca="false">IFERROR(C28-D28,"")</f>
        <v>-0.000481481481481305</v>
      </c>
      <c r="F28" s="21" t="str">
        <f aca="false">IF(B28="","",IF(ABS(B28-C28)&lt;=0.001,"agrees","check yours"))</f>
        <v/>
      </c>
    </row>
    <row r="29" customFormat="false" ht="15" hidden="false" customHeight="false" outlineLevel="0" collapsed="false">
      <c r="A29" s="18" t="s">
        <v>41</v>
      </c>
      <c r="B29" s="22"/>
      <c r="C29" s="23" t="n">
        <f aca="false">IFERROR(B17/B16,"")</f>
        <v>0.314814814814815</v>
      </c>
      <c r="D29" s="24" t="n">
        <v>0.315</v>
      </c>
      <c r="E29" s="25" t="n">
        <f aca="false">IFERROR(C29-D29,"")</f>
        <v>-0.000185185185185177</v>
      </c>
      <c r="F29" s="21" t="str">
        <f aca="false">IF(B29="","",IF(ABS(B29-C29)&lt;=0.001,"agrees","check yours"))</f>
        <v/>
      </c>
    </row>
    <row r="30" customFormat="false" ht="15" hidden="false" customHeight="false" outlineLevel="0" collapsed="false">
      <c r="A30" s="18" t="s">
        <v>42</v>
      </c>
      <c r="B30" s="22"/>
      <c r="C30" s="23" t="n">
        <f aca="false">IFERROR((C16+B17)/B16,"")</f>
        <v>1.83333333333333</v>
      </c>
      <c r="D30" s="24" t="n">
        <v>1.833</v>
      </c>
      <c r="E30" s="25" t="n">
        <f aca="false">IFERROR(C30-D30,"")</f>
        <v>0.000333333333333297</v>
      </c>
      <c r="F30" s="21" t="str">
        <f aca="false">IF(B30="","",IF(ABS(B30-C30)&lt;=0.001,"agrees","check yours"))</f>
        <v/>
      </c>
    </row>
    <row r="31" customFormat="false" ht="15" hidden="false" customHeight="false" outlineLevel="0" collapsed="false">
      <c r="A31" s="18" t="s">
        <v>43</v>
      </c>
      <c r="B31" s="26"/>
      <c r="C31" s="27" t="n">
        <f aca="false">IFERROR(C16/(C16+B17),"")</f>
        <v>0.828282828282828</v>
      </c>
      <c r="D31" s="9" t="n">
        <v>0.83</v>
      </c>
      <c r="E31" s="28" t="n">
        <f aca="false">IFERROR(C31-D31,"")</f>
        <v>-0.00171717171717167</v>
      </c>
      <c r="F31" s="21" t="str">
        <f aca="false">IF(B31="","",IF(ABS(B31-C31)&lt;=0.005,"agrees","check yours"))</f>
        <v/>
      </c>
    </row>
    <row r="32" customFormat="false" ht="15" hidden="false" customHeight="false" outlineLevel="0" collapsed="false">
      <c r="A32" s="18" t="s">
        <v>44</v>
      </c>
      <c r="B32" s="29"/>
      <c r="C32" s="30" t="n">
        <f aca="false">IFERROR(IRR(K6:K15),"")</f>
        <v>0.110672241691284</v>
      </c>
      <c r="D32" s="31" t="n">
        <v>0.1107</v>
      </c>
      <c r="E32" s="32" t="n">
        <f aca="false">IFERROR(C32-D32,"")</f>
        <v>-2.77583087156391E-005</v>
      </c>
      <c r="F32" s="21" t="str">
        <f aca="false">IF(B32="","",IF(ABS(B32-C32)&lt;=0.00005,"agrees","check yours"))</f>
        <v/>
      </c>
    </row>
    <row r="33" customFormat="false" ht="15" hidden="false" customHeight="false" outlineLevel="0" collapsed="false">
      <c r="A33" s="18" t="s">
        <v>45</v>
      </c>
      <c r="B33" s="29"/>
      <c r="C33" s="30" t="n">
        <f aca="false">IFERROR(IRR(J6:J15),"")</f>
        <v>0.079454462819545</v>
      </c>
      <c r="D33" s="31" t="n">
        <v>0.0795</v>
      </c>
      <c r="E33" s="32" t="n">
        <f aca="false">IFERROR(C33-D33,"")</f>
        <v>-4.55371804550103E-005</v>
      </c>
      <c r="F33" s="21" t="str">
        <f aca="false">IF(B33="","",IF(ABS(B33-C33)&lt;=0.00005,"agrees","check yours"))</f>
        <v/>
      </c>
    </row>
    <row r="34" customFormat="false" ht="15" hidden="false" customHeight="false" outlineLevel="0" collapsed="false">
      <c r="A34" s="18" t="s">
        <v>46</v>
      </c>
      <c r="B34" s="33"/>
      <c r="C34" s="34" t="n">
        <f aca="false">IFERROR(ROUND((C32-C33)*10000,0),"")</f>
        <v>312</v>
      </c>
      <c r="D34" s="35" t="n">
        <v>312</v>
      </c>
      <c r="E34" s="36" t="n">
        <f aca="false">IFERROR(C34-D34,"")</f>
        <v>0</v>
      </c>
      <c r="F34" s="21" t="str">
        <f aca="false">IF(B34="","",IF(ABS(B34-C34)&lt;=1,"agrees","check yours"))</f>
        <v/>
      </c>
    </row>
    <row r="35" customFormat="false" ht="15" hidden="false" customHeight="false" outlineLevel="0" collapsed="false">
      <c r="A35" s="18" t="s">
        <v>47</v>
      </c>
      <c r="B35" s="37"/>
      <c r="C35" s="38" t="n">
        <f aca="false">E15</f>
        <v>194.410636851006</v>
      </c>
      <c r="D35" s="39" t="n">
        <v>194.4</v>
      </c>
      <c r="E35" s="40" t="n">
        <f aca="false">IFERROR(C35-D35,"")</f>
        <v>0.0106368510056427</v>
      </c>
      <c r="F35" s="21" t="str">
        <f aca="false">IF(B35="","",IF(ABS(B35-C35)&lt;=0.05,"agrees","check yours"))</f>
        <v/>
      </c>
    </row>
    <row r="36" customFormat="false" ht="15" hidden="false" customHeight="false" outlineLevel="0" collapsed="false">
      <c r="A36" s="18" t="s">
        <v>48</v>
      </c>
      <c r="B36" s="29"/>
      <c r="C36" s="30" t="n">
        <f aca="false">IFERROR((E15/E6)^(1/9)-1,"")</f>
        <v>0.0766635304315575</v>
      </c>
      <c r="D36" s="31" t="n">
        <v>0.0767</v>
      </c>
      <c r="E36" s="32" t="n">
        <f aca="false">IFERROR(C36-D36,"")</f>
        <v>-3.64695684425126E-005</v>
      </c>
      <c r="F36" s="21" t="str">
        <f aca="false">IF(B36="","",IF(ABS(B36-C36)&lt;=0.00005,"agrees","check yours"))</f>
        <v/>
      </c>
    </row>
    <row r="37" customFormat="false" ht="15" hidden="false" customHeight="false" outlineLevel="0" collapsed="false">
      <c r="A37" s="18" t="s">
        <v>49</v>
      </c>
      <c r="B37" s="19"/>
      <c r="C37" s="20" t="n">
        <f aca="false">G16</f>
        <v>464.015640313026</v>
      </c>
      <c r="D37" s="8" t="n">
        <v>464</v>
      </c>
      <c r="E37" s="12" t="n">
        <f aca="false">IFERROR(C37-D37,"")</f>
        <v>0.0156403130259264</v>
      </c>
      <c r="F37" s="21" t="str">
        <f aca="false">IF(B37="","",IF(ABS(B37-C37)&lt;=0.05,"agrees","check yours"))</f>
        <v/>
      </c>
    </row>
    <row r="38" customFormat="false" ht="15" hidden="false" customHeight="false" outlineLevel="0" collapsed="false">
      <c r="A38" s="18" t="s">
        <v>50</v>
      </c>
      <c r="B38" s="19"/>
      <c r="C38" s="20" t="n">
        <f aca="false">H16</f>
        <v>489.7788536</v>
      </c>
      <c r="D38" s="8" t="n">
        <v>489.8</v>
      </c>
      <c r="E38" s="12" t="n">
        <f aca="false">IFERROR(C38-D38,"")</f>
        <v>-0.0211463999999637</v>
      </c>
      <c r="F38" s="21" t="str">
        <f aca="false">IF(B38="","",IF(ABS(B38-C38)&lt;=0.05,"agrees","check yours"))</f>
        <v/>
      </c>
    </row>
    <row r="39" customFormat="false" ht="15" hidden="false" customHeight="false" outlineLevel="0" collapsed="false">
      <c r="A39" s="18" t="s">
        <v>51</v>
      </c>
      <c r="B39" s="19"/>
      <c r="C39" s="20" t="n">
        <f aca="false">H16+B17</f>
        <v>574.7788536</v>
      </c>
      <c r="D39" s="8" t="n">
        <v>574.8</v>
      </c>
      <c r="E39" s="12" t="n">
        <f aca="false">IFERROR(C39-D39,"")</f>
        <v>-0.0211463999999069</v>
      </c>
      <c r="F39" s="21" t="str">
        <f aca="false">IF(B39="","",IF(ABS(B39-C39)&lt;=0.05,"agrees","check yours"))</f>
        <v/>
      </c>
    </row>
    <row r="40" customFormat="false" ht="15" hidden="false" customHeight="false" outlineLevel="0" collapsed="false">
      <c r="A40" s="18" t="s">
        <v>52</v>
      </c>
      <c r="B40" s="41"/>
      <c r="C40" s="42" t="n">
        <f aca="false">IFERROR((H16+B17)/G16,"")</f>
        <v>1.23870577554725</v>
      </c>
      <c r="D40" s="43" t="n">
        <v>1.239</v>
      </c>
      <c r="E40" s="44" t="n">
        <f aca="false">IFERROR(C40-D40,"")</f>
        <v>-0.000294224452751291</v>
      </c>
      <c r="F40" s="21" t="str">
        <f aca="false">IF(B40="","",IF(ABS(B40-C40)&lt;=0.0005,"agrees","check yours"))</f>
        <v/>
      </c>
    </row>
    <row r="41" customFormat="false" ht="15" hidden="false" customHeight="false" outlineLevel="0" collapsed="false">
      <c r="A41" s="18" t="s">
        <v>53</v>
      </c>
      <c r="B41" s="45"/>
      <c r="C41" s="46" t="n">
        <f aca="false">IFERROR((G16-B17)/H16,"")</f>
        <v>0.773850560364466</v>
      </c>
      <c r="D41" s="10" t="n">
        <v>0.7739</v>
      </c>
      <c r="E41" s="11" t="n">
        <f aca="false">IFERROR(C41-D41,"")</f>
        <v>-4.94396355337212E-005</v>
      </c>
      <c r="F41" s="21" t="str">
        <f aca="false">IF(B41="","",IF(ABS(B41-C41)&lt;=0.00005,"agrees","check yours"))</f>
        <v/>
      </c>
    </row>
    <row r="42" customFormat="false" ht="15" hidden="false" customHeight="false" outlineLevel="0" collapsed="false">
      <c r="A42" s="18" t="s">
        <v>54</v>
      </c>
      <c r="B42" s="29"/>
      <c r="C42" s="30" t="n">
        <f aca="false">IFERROR(IRR(L6:L15),"")</f>
        <v>0.0705410758380066</v>
      </c>
      <c r="D42" s="31" t="n">
        <v>0.0705</v>
      </c>
      <c r="E42" s="32" t="n">
        <f aca="false">IFERROR(C42-D42,"")</f>
        <v>4.10758380065546E-005</v>
      </c>
      <c r="F42" s="21" t="str">
        <f aca="false">IF(B42="","",IF(ABS(B42-C42)&lt;=0.00005,"agrees","check yours"))</f>
        <v/>
      </c>
    </row>
    <row r="43" customFormat="false" ht="15" hidden="false" customHeight="false" outlineLevel="0" collapsed="false">
      <c r="A43" s="18" t="s">
        <v>55</v>
      </c>
      <c r="B43" s="29"/>
      <c r="C43" s="30" t="n">
        <f aca="false">IFERROR(IRR(I6:I15),"")</f>
        <v>0.0380397478166134</v>
      </c>
      <c r="D43" s="31" t="n">
        <v>0.038</v>
      </c>
      <c r="E43" s="32" t="n">
        <f aca="false">IFERROR(C43-D43,"")</f>
        <v>3.9747816613353E-005</v>
      </c>
      <c r="F43" s="21" t="str">
        <f aca="false">IF(B43="","",IF(ABS(B43-C43)&lt;=0.00005,"agrees","check yours"))</f>
        <v/>
      </c>
    </row>
    <row r="45" customFormat="false" ht="15" hidden="false" customHeight="false" outlineLevel="0" collapsed="false">
      <c r="A45" s="5" t="s">
        <v>56</v>
      </c>
    </row>
    <row r="46" customFormat="false" ht="15" hidden="false" customHeight="true" outlineLevel="0" collapsed="false">
      <c r="A46" s="17" t="s">
        <v>57</v>
      </c>
      <c r="B46" s="17"/>
      <c r="C46" s="17"/>
      <c r="D46" s="17"/>
      <c r="E46" s="17"/>
      <c r="F46" s="17"/>
      <c r="G46" s="17"/>
      <c r="H46" s="17"/>
    </row>
    <row r="47" customFormat="false" ht="15" hidden="false" customHeight="false" outlineLevel="0" collapsed="false">
      <c r="A47" s="17"/>
      <c r="B47" s="17"/>
      <c r="C47" s="17"/>
      <c r="D47" s="17"/>
      <c r="E47" s="17"/>
      <c r="F47" s="17"/>
      <c r="G47" s="17"/>
      <c r="H47" s="17"/>
    </row>
    <row r="48" customFormat="false" ht="15" hidden="false" customHeight="false" outlineLevel="0" collapsed="false">
      <c r="A48" s="17"/>
      <c r="B48" s="17"/>
      <c r="C48" s="17"/>
      <c r="D48" s="17"/>
      <c r="E48" s="17"/>
      <c r="F48" s="17"/>
      <c r="G48" s="17"/>
      <c r="H48" s="17"/>
    </row>
  </sheetData>
  <mergeCells count="2">
    <mergeCell ref="A20:H21"/>
    <mergeCell ref="A46:H4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4" min="2" style="0" width="14"/>
    <col collapsed="false" customWidth="true" hidden="false" outlineLevel="0" max="5" min="5" style="0" width="16"/>
    <col collapsed="false" customWidth="true" hidden="false" outlineLevel="0" max="6" min="6" style="0" width="14"/>
    <col collapsed="false" customWidth="true" hidden="false" outlineLevel="0" max="7" min="7" style="0" width="40"/>
    <col collapsed="false" customWidth="true" hidden="false" outlineLevel="0" max="8" min="8" style="0" width="14"/>
  </cols>
  <sheetData>
    <row r="1" customFormat="false" ht="17.35" hidden="false" customHeight="false" outlineLevel="0" collapsed="false">
      <c r="A1" s="1" t="s">
        <v>58</v>
      </c>
    </row>
    <row r="2" customFormat="false" ht="15" hidden="false" customHeight="false" outlineLevel="0" collapsed="false">
      <c r="A2" s="2" t="s">
        <v>59</v>
      </c>
    </row>
    <row r="4" customFormat="false" ht="15" hidden="false" customHeight="false" outlineLevel="0" collapsed="false">
      <c r="A4" s="5" t="s">
        <v>14</v>
      </c>
    </row>
    <row r="5" customFormat="false" ht="15" hidden="false" customHeight="false" outlineLevel="0" collapsed="false">
      <c r="A5" s="6" t="s">
        <v>60</v>
      </c>
      <c r="B5" s="6" t="s">
        <v>61</v>
      </c>
      <c r="C5" s="6" t="s">
        <v>17</v>
      </c>
      <c r="D5" s="6" t="s">
        <v>62</v>
      </c>
      <c r="E5" s="6" t="s">
        <v>63</v>
      </c>
      <c r="F5" s="6" t="s">
        <v>42</v>
      </c>
    </row>
    <row r="6" customFormat="false" ht="15" hidden="false" customHeight="false" outlineLevel="0" collapsed="false">
      <c r="A6" s="18" t="s">
        <v>64</v>
      </c>
      <c r="B6" s="8" t="n">
        <v>180</v>
      </c>
      <c r="C6" s="8" t="n">
        <v>280</v>
      </c>
      <c r="D6" s="8" t="n">
        <v>60</v>
      </c>
      <c r="E6" s="31" t="n">
        <v>0.1152</v>
      </c>
      <c r="F6" s="24" t="n">
        <v>1.889</v>
      </c>
    </row>
    <row r="7" customFormat="false" ht="15" hidden="false" customHeight="false" outlineLevel="0" collapsed="false">
      <c r="A7" s="18" t="s">
        <v>65</v>
      </c>
      <c r="B7" s="8" t="n">
        <v>72</v>
      </c>
      <c r="C7" s="8" t="n">
        <v>104</v>
      </c>
      <c r="D7" s="8" t="n">
        <v>22</v>
      </c>
      <c r="E7" s="31" t="n">
        <v>0.1012</v>
      </c>
      <c r="F7" s="24" t="n">
        <v>1.75</v>
      </c>
    </row>
    <row r="8" customFormat="false" ht="15" hidden="false" customHeight="false" outlineLevel="0" collapsed="false">
      <c r="A8" s="18" t="s">
        <v>66</v>
      </c>
      <c r="B8" s="8" t="n">
        <v>18</v>
      </c>
      <c r="C8" s="8" t="n">
        <v>45</v>
      </c>
      <c r="D8" s="8" t="n">
        <v>5</v>
      </c>
      <c r="E8" s="31" t="n">
        <v>0.1951</v>
      </c>
      <c r="F8" s="24" t="n">
        <v>2.778</v>
      </c>
    </row>
    <row r="9" customFormat="false" ht="15" hidden="false" customHeight="false" outlineLevel="0" collapsed="false">
      <c r="A9" s="13" t="s">
        <v>27</v>
      </c>
      <c r="B9" s="14" t="n">
        <f aca="false">SUM(B6:B8)</f>
        <v>270</v>
      </c>
      <c r="C9" s="14" t="n">
        <f aca="false">SUM(C6:C8)</f>
        <v>429</v>
      </c>
      <c r="D9" s="14" t="n">
        <f aca="false">SUM(D6:D8)</f>
        <v>87</v>
      </c>
    </row>
    <row r="10" customFormat="false" ht="15" hidden="false" customHeight="false" outlineLevel="0" collapsed="false">
      <c r="A10" s="47" t="s">
        <v>67</v>
      </c>
    </row>
    <row r="12" customFormat="false" ht="15" hidden="false" customHeight="false" outlineLevel="0" collapsed="false">
      <c r="A12" s="5" t="s">
        <v>68</v>
      </c>
    </row>
    <row r="13" customFormat="false" ht="15" hidden="false" customHeight="false" outlineLevel="0" collapsed="false">
      <c r="A13" s="6" t="s">
        <v>32</v>
      </c>
      <c r="B13" s="6" t="s">
        <v>33</v>
      </c>
      <c r="C13" s="6" t="s">
        <v>34</v>
      </c>
      <c r="D13" s="6" t="s">
        <v>35</v>
      </c>
      <c r="E13" s="6" t="s">
        <v>36</v>
      </c>
      <c r="F13" s="6" t="s">
        <v>37</v>
      </c>
    </row>
    <row r="14" customFormat="false" ht="15" hidden="false" customHeight="false" outlineLevel="0" collapsed="false">
      <c r="A14" s="18" t="s">
        <v>38</v>
      </c>
      <c r="B14" s="19"/>
      <c r="C14" s="20" t="n">
        <f aca="false">B9</f>
        <v>270</v>
      </c>
      <c r="D14" s="8" t="n">
        <v>270</v>
      </c>
      <c r="E14" s="12" t="n">
        <f aca="false">IFERROR(C14-D14,"")</f>
        <v>0</v>
      </c>
      <c r="F14" s="21" t="str">
        <f aca="false">IF(B14="","",IF(ABS(B14-C14)&lt;=0.05,"agrees","check yours"))</f>
        <v/>
      </c>
    </row>
    <row r="15" customFormat="false" ht="15" hidden="false" customHeight="false" outlineLevel="0" collapsed="false">
      <c r="A15" s="18" t="s">
        <v>17</v>
      </c>
      <c r="B15" s="19"/>
      <c r="C15" s="20" t="n">
        <f aca="false">C9</f>
        <v>429</v>
      </c>
      <c r="D15" s="8" t="n">
        <v>429</v>
      </c>
      <c r="E15" s="12" t="n">
        <f aca="false">IFERROR(C15-D15,"")</f>
        <v>0</v>
      </c>
      <c r="F15" s="21" t="str">
        <f aca="false">IF(B15="","",IF(ABS(B15-C15)&lt;=0.05,"agrees","check yours"))</f>
        <v/>
      </c>
    </row>
    <row r="16" customFormat="false" ht="15" hidden="false" customHeight="false" outlineLevel="0" collapsed="false">
      <c r="A16" s="18" t="s">
        <v>62</v>
      </c>
      <c r="B16" s="19"/>
      <c r="C16" s="20" t="n">
        <f aca="false">D9</f>
        <v>87</v>
      </c>
      <c r="D16" s="8" t="n">
        <v>87</v>
      </c>
      <c r="E16" s="12" t="n">
        <f aca="false">IFERROR(C16-D16,"")</f>
        <v>0</v>
      </c>
      <c r="F16" s="21" t="str">
        <f aca="false">IF(B16="","",IF(ABS(B16-C16)&lt;=0.05,"agrees","check yours"))</f>
        <v/>
      </c>
    </row>
    <row r="17" customFormat="false" ht="15" hidden="false" customHeight="false" outlineLevel="0" collapsed="false">
      <c r="A17" s="18" t="s">
        <v>39</v>
      </c>
      <c r="B17" s="19"/>
      <c r="C17" s="20" t="n">
        <f aca="false">C9+D9</f>
        <v>516</v>
      </c>
      <c r="D17" s="8" t="n">
        <v>516</v>
      </c>
      <c r="E17" s="12" t="n">
        <f aca="false">IFERROR(C17-D17,"")</f>
        <v>0</v>
      </c>
      <c r="F17" s="21" t="str">
        <f aca="false">IF(B17="","",IF(ABS(B17-C17)&lt;=0.05,"agrees","check yours"))</f>
        <v/>
      </c>
    </row>
    <row r="18" customFormat="false" ht="15" hidden="false" customHeight="false" outlineLevel="0" collapsed="false">
      <c r="A18" s="18" t="s">
        <v>69</v>
      </c>
      <c r="B18" s="22"/>
      <c r="C18" s="23" t="n">
        <f aca="false">IFERROR((C9+D9)/B9,"")</f>
        <v>1.91111111111111</v>
      </c>
      <c r="D18" s="24" t="n">
        <v>1.911</v>
      </c>
      <c r="E18" s="25" t="n">
        <f aca="false">IFERROR(C18-D18,"")</f>
        <v>0.000111111111111173</v>
      </c>
      <c r="F18" s="21" t="str">
        <f aca="false">IF(B18="","",IF(ABS(B18-C18)&lt;=0.001,"agrees","check yours"))</f>
        <v/>
      </c>
    </row>
    <row r="19" customFormat="false" ht="15" hidden="false" customHeight="false" outlineLevel="0" collapsed="false">
      <c r="A19" s="18" t="s">
        <v>70</v>
      </c>
      <c r="B19" s="22"/>
      <c r="C19" s="23" t="n">
        <f aca="false">IFERROR(C9/B9,"")</f>
        <v>1.58888888888889</v>
      </c>
      <c r="D19" s="24" t="n">
        <v>1.589</v>
      </c>
      <c r="E19" s="25" t="n">
        <f aca="false">IFERROR(C19-D19,"")</f>
        <v>-0.000111111111111173</v>
      </c>
      <c r="F19" s="21" t="str">
        <f aca="false">IF(B19="","",IF(ABS(B19-C19)&lt;=0.001,"agrees","check yours"))</f>
        <v/>
      </c>
    </row>
    <row r="22" customFormat="false" ht="15" hidden="false" customHeight="false" outlineLevel="0" collapsed="false">
      <c r="A22" s="5" t="s">
        <v>71</v>
      </c>
    </row>
    <row r="23" customFormat="false" ht="15" hidden="false" customHeight="true" outlineLevel="0" collapsed="false">
      <c r="A23" s="17" t="s">
        <v>72</v>
      </c>
      <c r="B23" s="17"/>
      <c r="C23" s="17"/>
      <c r="D23" s="17"/>
      <c r="E23" s="17"/>
      <c r="F23" s="17"/>
      <c r="G23" s="17"/>
      <c r="H23" s="17"/>
    </row>
    <row r="24" customFormat="false" ht="15" hidden="false" customHeight="false" outlineLevel="0" collapsed="false">
      <c r="A24" s="17"/>
      <c r="B24" s="17"/>
      <c r="C24" s="17"/>
      <c r="D24" s="17"/>
      <c r="E24" s="17"/>
      <c r="F24" s="17"/>
      <c r="G24" s="17"/>
      <c r="H24" s="17"/>
    </row>
    <row r="25" customFormat="false" ht="15" hidden="false" customHeight="false" outlineLevel="0" collapsed="false">
      <c r="A25" s="17"/>
      <c r="B25" s="17"/>
      <c r="C25" s="17"/>
      <c r="D25" s="17"/>
      <c r="E25" s="17"/>
      <c r="F25" s="17"/>
      <c r="G25" s="17"/>
      <c r="H25" s="17"/>
    </row>
    <row r="26" customFormat="false" ht="15" hidden="false" customHeight="false" outlineLevel="0" collapsed="false">
      <c r="A26" s="17"/>
      <c r="B26" s="17"/>
      <c r="C26" s="17"/>
      <c r="D26" s="17"/>
      <c r="E26" s="17"/>
      <c r="F26" s="17"/>
      <c r="G26" s="17"/>
      <c r="H26" s="17"/>
    </row>
    <row r="28" customFormat="false" ht="23.85" hidden="false" customHeight="false" outlineLevel="0" collapsed="false">
      <c r="A28" s="6" t="s">
        <v>15</v>
      </c>
      <c r="B28" s="6" t="s">
        <v>73</v>
      </c>
      <c r="C28" s="6" t="s">
        <v>74</v>
      </c>
      <c r="D28" s="6" t="s">
        <v>75</v>
      </c>
      <c r="E28" s="6" t="s">
        <v>76</v>
      </c>
      <c r="F28" s="6" t="s">
        <v>77</v>
      </c>
      <c r="G28" s="6" t="s">
        <v>78</v>
      </c>
    </row>
    <row r="29" customFormat="false" ht="15" hidden="false" customHeight="false" outlineLevel="0" collapsed="false">
      <c r="A29" s="7" t="n">
        <v>0</v>
      </c>
      <c r="B29" s="48" t="n">
        <f aca="false">'1. Case 1'!B6</f>
        <v>60</v>
      </c>
      <c r="C29" s="48" t="n">
        <f aca="false">'1. Case 1'!C6</f>
        <v>0</v>
      </c>
      <c r="D29" s="12" t="n">
        <f aca="false">IFERROR(-B29*$B$6/'1. Case 1'!$B$16+C29*$C$6/'1. Case 1'!$C$16,"")</f>
        <v>-40</v>
      </c>
      <c r="E29" s="12" t="n">
        <f aca="false">IFERROR(-B29*$B$7/'1. Case 1'!$B$16+C29*$C$7/'1. Case 1'!$C$16,"")</f>
        <v>-16</v>
      </c>
      <c r="F29" s="12" t="n">
        <f aca="false">IFERROR(-B29*$B$8/'1. Case 1'!$B$16+C29*$C$8/'1. Case 1'!$C$16,"")</f>
        <v>-4</v>
      </c>
      <c r="G29" s="12" t="n">
        <f aca="false">D29+E29+F29</f>
        <v>-60</v>
      </c>
    </row>
    <row r="30" customFormat="false" ht="15" hidden="false" customHeight="false" outlineLevel="0" collapsed="false">
      <c r="A30" s="7" t="n">
        <v>1</v>
      </c>
      <c r="B30" s="48" t="n">
        <f aca="false">'1. Case 1'!B7</f>
        <v>75</v>
      </c>
      <c r="C30" s="48" t="n">
        <f aca="false">'1. Case 1'!C7</f>
        <v>0</v>
      </c>
      <c r="D30" s="12" t="n">
        <f aca="false">IFERROR(-B30*$B$6/'1. Case 1'!$B$16+C30*$C$6/'1. Case 1'!$C$16,"")</f>
        <v>-50</v>
      </c>
      <c r="E30" s="12" t="n">
        <f aca="false">IFERROR(-B30*$B$7/'1. Case 1'!$B$16+C30*$C$7/'1. Case 1'!$C$16,"")</f>
        <v>-20</v>
      </c>
      <c r="F30" s="12" t="n">
        <f aca="false">IFERROR(-B30*$B$8/'1. Case 1'!$B$16+C30*$C$8/'1. Case 1'!$C$16,"")</f>
        <v>-5</v>
      </c>
      <c r="G30" s="12" t="n">
        <f aca="false">D30+E30+F30</f>
        <v>-75</v>
      </c>
    </row>
    <row r="31" customFormat="false" ht="15" hidden="false" customHeight="false" outlineLevel="0" collapsed="false">
      <c r="A31" s="7" t="n">
        <v>2</v>
      </c>
      <c r="B31" s="48" t="n">
        <f aca="false">'1. Case 1'!B8</f>
        <v>60</v>
      </c>
      <c r="C31" s="48" t="n">
        <f aca="false">'1. Case 1'!C8</f>
        <v>0</v>
      </c>
      <c r="D31" s="12" t="n">
        <f aca="false">IFERROR(-B31*$B$6/'1. Case 1'!$B$16+C31*$C$6/'1. Case 1'!$C$16,"")</f>
        <v>-40</v>
      </c>
      <c r="E31" s="12" t="n">
        <f aca="false">IFERROR(-B31*$B$7/'1. Case 1'!$B$16+C31*$C$7/'1. Case 1'!$C$16,"")</f>
        <v>-16</v>
      </c>
      <c r="F31" s="12" t="n">
        <f aca="false">IFERROR(-B31*$B$8/'1. Case 1'!$B$16+C31*$C$8/'1. Case 1'!$C$16,"")</f>
        <v>-4</v>
      </c>
      <c r="G31" s="12" t="n">
        <f aca="false">D31+E31+F31</f>
        <v>-60</v>
      </c>
    </row>
    <row r="32" customFormat="false" ht="15" hidden="false" customHeight="false" outlineLevel="0" collapsed="false">
      <c r="A32" s="7" t="n">
        <v>3</v>
      </c>
      <c r="B32" s="48" t="n">
        <f aca="false">'1. Case 1'!B9</f>
        <v>45</v>
      </c>
      <c r="C32" s="48" t="n">
        <f aca="false">'1. Case 1'!C9</f>
        <v>0</v>
      </c>
      <c r="D32" s="12" t="n">
        <f aca="false">IFERROR(-B32*$B$6/'1. Case 1'!$B$16+C32*$C$6/'1. Case 1'!$C$16,"")</f>
        <v>-30</v>
      </c>
      <c r="E32" s="12" t="n">
        <f aca="false">IFERROR(-B32*$B$7/'1. Case 1'!$B$16+C32*$C$7/'1. Case 1'!$C$16,"")</f>
        <v>-12</v>
      </c>
      <c r="F32" s="12" t="n">
        <f aca="false">IFERROR(-B32*$B$8/'1. Case 1'!$B$16+C32*$C$8/'1. Case 1'!$C$16,"")</f>
        <v>-3</v>
      </c>
      <c r="G32" s="12" t="n">
        <f aca="false">D32+E32+F32</f>
        <v>-45</v>
      </c>
    </row>
    <row r="33" customFormat="false" ht="15" hidden="false" customHeight="false" outlineLevel="0" collapsed="false">
      <c r="A33" s="7" t="n">
        <v>4</v>
      </c>
      <c r="B33" s="48" t="n">
        <f aca="false">'1. Case 1'!B10</f>
        <v>30</v>
      </c>
      <c r="C33" s="48" t="n">
        <f aca="false">'1. Case 1'!C10</f>
        <v>0</v>
      </c>
      <c r="D33" s="12" t="n">
        <f aca="false">IFERROR(-B33*$B$6/'1. Case 1'!$B$16+C33*$C$6/'1. Case 1'!$C$16,"")</f>
        <v>-20</v>
      </c>
      <c r="E33" s="12" t="n">
        <f aca="false">IFERROR(-B33*$B$7/'1. Case 1'!$B$16+C33*$C$7/'1. Case 1'!$C$16,"")</f>
        <v>-8</v>
      </c>
      <c r="F33" s="12" t="n">
        <f aca="false">IFERROR(-B33*$B$8/'1. Case 1'!$B$16+C33*$C$8/'1. Case 1'!$C$16,"")</f>
        <v>-2</v>
      </c>
      <c r="G33" s="12" t="n">
        <f aca="false">D33+E33+F33</f>
        <v>-30</v>
      </c>
    </row>
    <row r="34" customFormat="false" ht="15" hidden="false" customHeight="false" outlineLevel="0" collapsed="false">
      <c r="A34" s="7" t="n">
        <v>5</v>
      </c>
      <c r="B34" s="48" t="n">
        <f aca="false">'1. Case 1'!B11</f>
        <v>0</v>
      </c>
      <c r="C34" s="48" t="n">
        <f aca="false">'1. Case 1'!C11</f>
        <v>40</v>
      </c>
      <c r="D34" s="12" t="n">
        <f aca="false">IFERROR(-B34*$B$6/'1. Case 1'!$B$16+C34*$C$6/'1. Case 1'!$C$16,"")</f>
        <v>27.3170731707317</v>
      </c>
      <c r="E34" s="12" t="n">
        <f aca="false">IFERROR(-B34*$B$7/'1. Case 1'!$B$16+C34*$C$7/'1. Case 1'!$C$16,"")</f>
        <v>10.1463414634146</v>
      </c>
      <c r="F34" s="12" t="n">
        <f aca="false">IFERROR(-B34*$B$8/'1. Case 1'!$B$16+C34*$C$8/'1. Case 1'!$C$16,"")</f>
        <v>4.39024390243903</v>
      </c>
      <c r="G34" s="12" t="n">
        <f aca="false">D34+E34+F34</f>
        <v>41.8536585365854</v>
      </c>
    </row>
    <row r="35" customFormat="false" ht="15" hidden="false" customHeight="false" outlineLevel="0" collapsed="false">
      <c r="A35" s="7" t="n">
        <v>6</v>
      </c>
      <c r="B35" s="48" t="n">
        <f aca="false">'1. Case 1'!B12</f>
        <v>0</v>
      </c>
      <c r="C35" s="48" t="n">
        <f aca="false">'1. Case 1'!C12</f>
        <v>90</v>
      </c>
      <c r="D35" s="12" t="n">
        <f aca="false">IFERROR(-B35*$B$6/'1. Case 1'!$B$16+C35*$C$6/'1. Case 1'!$C$16,"")</f>
        <v>61.4634146341463</v>
      </c>
      <c r="E35" s="12" t="n">
        <f aca="false">IFERROR(-B35*$B$7/'1. Case 1'!$B$16+C35*$C$7/'1. Case 1'!$C$16,"")</f>
        <v>22.8292682926829</v>
      </c>
      <c r="F35" s="12" t="n">
        <f aca="false">IFERROR(-B35*$B$8/'1. Case 1'!$B$16+C35*$C$8/'1. Case 1'!$C$16,"")</f>
        <v>9.87804878048781</v>
      </c>
      <c r="G35" s="12" t="n">
        <f aca="false">D35+E35+F35</f>
        <v>94.1707317073171</v>
      </c>
    </row>
    <row r="36" customFormat="false" ht="15" hidden="false" customHeight="false" outlineLevel="0" collapsed="false">
      <c r="A36" s="7" t="n">
        <v>7</v>
      </c>
      <c r="B36" s="48" t="n">
        <f aca="false">'1. Case 1'!B13</f>
        <v>0</v>
      </c>
      <c r="C36" s="48" t="n">
        <f aca="false">'1. Case 1'!C13</f>
        <v>120</v>
      </c>
      <c r="D36" s="12" t="n">
        <f aca="false">IFERROR(-B36*$B$6/'1. Case 1'!$B$16+C36*$C$6/'1. Case 1'!$C$16,"")</f>
        <v>81.9512195121951</v>
      </c>
      <c r="E36" s="12" t="n">
        <f aca="false">IFERROR(-B36*$B$7/'1. Case 1'!$B$16+C36*$C$7/'1. Case 1'!$C$16,"")</f>
        <v>30.4390243902439</v>
      </c>
      <c r="F36" s="12" t="n">
        <f aca="false">IFERROR(-B36*$B$8/'1. Case 1'!$B$16+C36*$C$8/'1. Case 1'!$C$16,"")</f>
        <v>13.1707317073171</v>
      </c>
      <c r="G36" s="12" t="n">
        <f aca="false">D36+E36+F36</f>
        <v>125.560975609756</v>
      </c>
    </row>
    <row r="37" customFormat="false" ht="15" hidden="false" customHeight="false" outlineLevel="0" collapsed="false">
      <c r="A37" s="7" t="n">
        <v>8</v>
      </c>
      <c r="B37" s="48" t="n">
        <f aca="false">'1. Case 1'!B14</f>
        <v>0</v>
      </c>
      <c r="C37" s="48" t="n">
        <f aca="false">'1. Case 1'!C14</f>
        <v>100</v>
      </c>
      <c r="D37" s="12" t="n">
        <f aca="false">IFERROR(-B37*$B$6/'1. Case 1'!$B$16+C37*$C$6/'1. Case 1'!$C$16,"")</f>
        <v>68.2926829268293</v>
      </c>
      <c r="E37" s="12" t="n">
        <f aca="false">IFERROR(-B37*$B$7/'1. Case 1'!$B$16+C37*$C$7/'1. Case 1'!$C$16,"")</f>
        <v>25.3658536585366</v>
      </c>
      <c r="F37" s="12" t="n">
        <f aca="false">IFERROR(-B37*$B$8/'1. Case 1'!$B$16+C37*$C$8/'1. Case 1'!$C$16,"")</f>
        <v>10.9756097560976</v>
      </c>
      <c r="G37" s="12" t="n">
        <f aca="false">D37+E37+F37</f>
        <v>104.634146341463</v>
      </c>
    </row>
    <row r="38" customFormat="false" ht="15" hidden="false" customHeight="false" outlineLevel="0" collapsed="false">
      <c r="A38" s="7" t="n">
        <v>9</v>
      </c>
      <c r="B38" s="48" t="n">
        <f aca="false">'1. Case 1'!B15</f>
        <v>0</v>
      </c>
      <c r="C38" s="48" t="n">
        <f aca="false">'1. Case 1'!C15</f>
        <v>60</v>
      </c>
      <c r="D38" s="12" t="n">
        <f aca="false">IFERROR(-B38*$B$6/'1. Case 1'!$B$16+C38*$C$6/'1. Case 1'!$C$16,"")+$D$6</f>
        <v>100.975609756098</v>
      </c>
      <c r="E38" s="12" t="n">
        <f aca="false">IFERROR(-B38*$B$7/'1. Case 1'!$B$16+C38*$C$7/'1. Case 1'!$C$16,"")+$D$7</f>
        <v>37.219512195122</v>
      </c>
      <c r="F38" s="12" t="n">
        <f aca="false">IFERROR(-B38*$B$8/'1. Case 1'!$B$16+C38*$C$8/'1. Case 1'!$C$16,"")+$D$8</f>
        <v>11.5853658536585</v>
      </c>
      <c r="G38" s="12" t="n">
        <f aca="false">D38+E38+F38</f>
        <v>149.780487804878</v>
      </c>
    </row>
    <row r="39" customFormat="false" ht="15" hidden="false" customHeight="false" outlineLevel="0" collapsed="false">
      <c r="A39" s="13" t="s">
        <v>27</v>
      </c>
      <c r="D39" s="14" t="n">
        <f aca="false">SUM(D29:D38)</f>
        <v>160</v>
      </c>
      <c r="E39" s="14" t="n">
        <f aca="false">SUM(E29:E38)</f>
        <v>54</v>
      </c>
      <c r="F39" s="14" t="n">
        <f aca="false">SUM(F29:F38)</f>
        <v>32</v>
      </c>
      <c r="G39" s="14" t="n">
        <f aca="false">SUM(G29:G38)</f>
        <v>246</v>
      </c>
    </row>
    <row r="41" customFormat="false" ht="15" hidden="false" customHeight="false" outlineLevel="0" collapsed="false">
      <c r="A41" s="5" t="s">
        <v>79</v>
      </c>
    </row>
    <row r="42" customFormat="false" ht="15" hidden="false" customHeight="false" outlineLevel="0" collapsed="false">
      <c r="A42" s="6" t="s">
        <v>80</v>
      </c>
      <c r="B42" s="6" t="s">
        <v>33</v>
      </c>
      <c r="C42" s="6" t="s">
        <v>34</v>
      </c>
      <c r="D42" s="6" t="s">
        <v>35</v>
      </c>
      <c r="E42" s="6" t="s">
        <v>36</v>
      </c>
      <c r="F42" s="6" t="s">
        <v>37</v>
      </c>
      <c r="G42" s="6" t="s">
        <v>81</v>
      </c>
    </row>
    <row r="43" customFormat="false" ht="15" hidden="false" customHeight="false" outlineLevel="0" collapsed="false">
      <c r="A43" s="18" t="s">
        <v>82</v>
      </c>
      <c r="B43" s="29"/>
      <c r="C43" s="30" t="n">
        <f aca="false">IFERROR(IRR(G29:G38),"")</f>
        <v>0.118824203058462</v>
      </c>
      <c r="D43" s="31" t="n">
        <v>0.1178</v>
      </c>
      <c r="E43" s="36" t="n">
        <f aca="false">IFERROR(ROUND((C43-D43)*10000,0),"")</f>
        <v>10</v>
      </c>
      <c r="F43" s="21" t="str">
        <f aca="false">IF(B43="","",IF(ABS(B43-C43)&lt;=0.002,"agrees","check yours"))</f>
        <v/>
      </c>
      <c r="G43" s="49" t="s">
        <v>83</v>
      </c>
    </row>
    <row r="44" customFormat="false" ht="15" hidden="false" customHeight="false" outlineLevel="0" collapsed="false">
      <c r="A44" s="18" t="s">
        <v>84</v>
      </c>
      <c r="B44" s="29"/>
      <c r="C44" s="30" t="n">
        <f aca="false">IFERROR(AVERAGE(E6:E8),"")</f>
        <v>0.137166666666667</v>
      </c>
      <c r="D44" s="31" t="n">
        <v>0.1372</v>
      </c>
      <c r="E44" s="36" t="n">
        <f aca="false">IFERROR(ROUND((C44-D44)*10000,0),"")</f>
        <v>-0</v>
      </c>
      <c r="F44" s="21" t="str">
        <f aca="false">IF(B44="","",IF(ABS(B44-C44)&lt;=0.00005,"agrees","check yours"))</f>
        <v/>
      </c>
      <c r="G44" s="49" t="s">
        <v>85</v>
      </c>
    </row>
    <row r="45" customFormat="false" ht="15" hidden="false" customHeight="false" outlineLevel="0" collapsed="false">
      <c r="A45" s="18" t="s">
        <v>86</v>
      </c>
      <c r="B45" s="29"/>
      <c r="C45" s="30" t="n">
        <f aca="false">IFERROR(SUMPRODUCT(B6:B8,E6:E8)/B9,"")</f>
        <v>0.116793333333333</v>
      </c>
      <c r="D45" s="31" t="n">
        <v>0.1168</v>
      </c>
      <c r="E45" s="36" t="n">
        <f aca="false">IFERROR(ROUND((C45-D45)*10000,0),"")</f>
        <v>-0</v>
      </c>
      <c r="F45" s="21" t="str">
        <f aca="false">IF(B45="","",IF(ABS(B45-C45)&lt;=0.00005,"agrees","check yours"))</f>
        <v/>
      </c>
      <c r="G45" s="49" t="s">
        <v>85</v>
      </c>
    </row>
    <row r="47" customFormat="false" ht="15" hidden="false" customHeight="false" outlineLevel="0" collapsed="false">
      <c r="A47" s="13" t="s">
        <v>87</v>
      </c>
      <c r="C47" s="50" t="n">
        <f aca="false">IFERROR(ROUND((C44-C43)*10000,0),"")</f>
        <v>183</v>
      </c>
      <c r="D47" s="51" t="n">
        <v>194</v>
      </c>
      <c r="E47" s="47" t="s">
        <v>88</v>
      </c>
    </row>
    <row r="49" customFormat="false" ht="15" hidden="false" customHeight="false" outlineLevel="0" collapsed="false">
      <c r="A49" s="52" t="s">
        <v>89</v>
      </c>
    </row>
    <row r="50" customFormat="false" ht="15" hidden="false" customHeight="true" outlineLevel="0" collapsed="false">
      <c r="A50" s="17" t="s">
        <v>90</v>
      </c>
      <c r="B50" s="17"/>
      <c r="C50" s="17"/>
      <c r="D50" s="17"/>
      <c r="E50" s="17"/>
      <c r="F50" s="17"/>
      <c r="G50" s="17"/>
      <c r="H50" s="17"/>
    </row>
    <row r="51" customFormat="false" ht="15" hidden="false" customHeight="false" outlineLevel="0" collapsed="false">
      <c r="A51" s="17"/>
      <c r="B51" s="17"/>
      <c r="C51" s="17"/>
      <c r="D51" s="17"/>
      <c r="E51" s="17"/>
      <c r="F51" s="17"/>
      <c r="G51" s="17"/>
      <c r="H51" s="17"/>
    </row>
    <row r="52" customFormat="false" ht="15" hidden="false" customHeight="false" outlineLevel="0" collapsed="false">
      <c r="A52" s="17"/>
      <c r="B52" s="17"/>
      <c r="C52" s="17"/>
      <c r="D52" s="17"/>
      <c r="E52" s="17"/>
      <c r="F52" s="17"/>
      <c r="G52" s="17"/>
      <c r="H52" s="17"/>
    </row>
    <row r="53" customFormat="false" ht="15" hidden="false" customHeight="false" outlineLevel="0" collapsed="false">
      <c r="A53" s="17"/>
      <c r="B53" s="17"/>
      <c r="C53" s="17"/>
      <c r="D53" s="17"/>
      <c r="E53" s="17"/>
      <c r="F53" s="17"/>
      <c r="G53" s="17"/>
      <c r="H53" s="17"/>
    </row>
    <row r="55" customFormat="false" ht="15" hidden="false" customHeight="false" outlineLevel="0" collapsed="false">
      <c r="A55" s="5" t="s">
        <v>91</v>
      </c>
    </row>
    <row r="56" customFormat="false" ht="15" hidden="false" customHeight="true" outlineLevel="0" collapsed="false">
      <c r="A56" s="17" t="s">
        <v>92</v>
      </c>
      <c r="B56" s="17"/>
      <c r="C56" s="17"/>
      <c r="D56" s="17"/>
      <c r="E56" s="17"/>
      <c r="F56" s="17"/>
      <c r="G56" s="17"/>
      <c r="H56" s="17"/>
    </row>
    <row r="57" customFormat="false" ht="15" hidden="false" customHeight="false" outlineLevel="0" collapsed="false">
      <c r="A57" s="17"/>
      <c r="B57" s="17"/>
      <c r="C57" s="17"/>
      <c r="D57" s="17"/>
      <c r="E57" s="17"/>
      <c r="F57" s="17"/>
      <c r="G57" s="17"/>
      <c r="H57" s="17"/>
    </row>
    <row r="58" customFormat="false" ht="15" hidden="false" customHeight="false" outlineLevel="0" collapsed="false">
      <c r="A58" s="17"/>
      <c r="B58" s="17"/>
      <c r="C58" s="17"/>
      <c r="D58" s="17"/>
      <c r="E58" s="17"/>
      <c r="F58" s="17"/>
      <c r="G58" s="17"/>
      <c r="H58" s="17"/>
    </row>
  </sheetData>
  <mergeCells count="3">
    <mergeCell ref="A23:H26"/>
    <mergeCell ref="A50:H53"/>
    <mergeCell ref="A56:H5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7" min="2" style="0" width="16"/>
    <col collapsed="false" customWidth="true" hidden="false" outlineLevel="0" max="8" min="8" style="0" width="14"/>
  </cols>
  <sheetData>
    <row r="1" customFormat="false" ht="17.35" hidden="false" customHeight="false" outlineLevel="0" collapsed="false">
      <c r="A1" s="1" t="s">
        <v>93</v>
      </c>
    </row>
    <row r="2" customFormat="false" ht="15" hidden="false" customHeight="false" outlineLevel="0" collapsed="false">
      <c r="A2" s="2" t="s">
        <v>94</v>
      </c>
    </row>
    <row r="4" customFormat="false" ht="15" hidden="false" customHeight="true" outlineLevel="0" collapsed="false">
      <c r="A4" s="17" t="s">
        <v>95</v>
      </c>
      <c r="B4" s="17"/>
      <c r="C4" s="17"/>
      <c r="D4" s="17"/>
      <c r="E4" s="17"/>
      <c r="F4" s="17"/>
      <c r="G4" s="17"/>
      <c r="H4" s="17"/>
    </row>
    <row r="5" customFormat="false" ht="15" hidden="false" customHeight="false" outlineLevel="0" collapsed="false">
      <c r="A5" s="17"/>
      <c r="B5" s="17"/>
      <c r="C5" s="17"/>
      <c r="D5" s="17"/>
      <c r="E5" s="17"/>
      <c r="F5" s="17"/>
      <c r="G5" s="17"/>
      <c r="H5" s="17"/>
    </row>
    <row r="6" customFormat="false" ht="15" hidden="false" customHeight="false" outlineLevel="0" collapsed="false">
      <c r="A6" s="17"/>
      <c r="B6" s="17"/>
      <c r="C6" s="17"/>
      <c r="D6" s="17"/>
      <c r="E6" s="17"/>
      <c r="F6" s="17"/>
      <c r="G6" s="17"/>
      <c r="H6" s="17"/>
    </row>
    <row r="8" customFormat="false" ht="15" hidden="false" customHeight="false" outlineLevel="0" collapsed="false">
      <c r="A8" s="5" t="s">
        <v>14</v>
      </c>
    </row>
    <row r="9" customFormat="false" ht="15" hidden="false" customHeight="false" outlineLevel="0" collapsed="false">
      <c r="A9" s="6" t="s">
        <v>96</v>
      </c>
      <c r="B9" s="6" t="s">
        <v>97</v>
      </c>
      <c r="C9" s="6" t="s">
        <v>98</v>
      </c>
      <c r="D9" s="6" t="s">
        <v>99</v>
      </c>
    </row>
    <row r="10" customFormat="false" ht="15" hidden="false" customHeight="false" outlineLevel="0" collapsed="false">
      <c r="A10" s="18" t="s">
        <v>38</v>
      </c>
      <c r="B10" s="8" t="n">
        <v>191.1</v>
      </c>
      <c r="C10" s="8" t="n">
        <v>175</v>
      </c>
      <c r="D10" s="8" t="n">
        <v>200</v>
      </c>
    </row>
    <row r="11" customFormat="false" ht="15" hidden="false" customHeight="false" outlineLevel="0" collapsed="false">
      <c r="A11" s="18" t="s">
        <v>17</v>
      </c>
      <c r="B11" s="12" t="n">
        <f aca="false">C11</f>
        <v>255</v>
      </c>
      <c r="C11" s="8" t="n">
        <v>255</v>
      </c>
      <c r="D11" s="8" t="n">
        <v>355</v>
      </c>
    </row>
    <row r="12" customFormat="false" ht="15" hidden="false" customHeight="false" outlineLevel="0" collapsed="false">
      <c r="A12" s="18" t="s">
        <v>62</v>
      </c>
      <c r="B12" s="12" t="n">
        <f aca="false">C12</f>
        <v>55</v>
      </c>
      <c r="C12" s="8" t="n">
        <v>55</v>
      </c>
      <c r="D12" s="8" t="n">
        <v>40</v>
      </c>
    </row>
    <row r="13" customFormat="false" ht="15" hidden="false" customHeight="false" outlineLevel="0" collapsed="false">
      <c r="A13" s="18" t="s">
        <v>100</v>
      </c>
      <c r="B13" s="31" t="n">
        <v>0.1387</v>
      </c>
      <c r="C13" s="31" t="n">
        <v>0.105</v>
      </c>
      <c r="D13" s="31" t="n">
        <v>0.1215</v>
      </c>
    </row>
    <row r="15" customFormat="false" ht="15" hidden="false" customHeight="false" outlineLevel="0" collapsed="false">
      <c r="A15" s="47" t="s">
        <v>101</v>
      </c>
    </row>
    <row r="17" customFormat="false" ht="15" hidden="false" customHeight="false" outlineLevel="0" collapsed="false">
      <c r="A17" s="5" t="s">
        <v>102</v>
      </c>
    </row>
    <row r="18" customFormat="false" ht="23.85" hidden="false" customHeight="false" outlineLevel="0" collapsed="false">
      <c r="A18" s="6" t="s">
        <v>32</v>
      </c>
      <c r="B18" s="6" t="s">
        <v>103</v>
      </c>
      <c r="C18" s="6" t="s">
        <v>104</v>
      </c>
      <c r="D18" s="6" t="s">
        <v>97</v>
      </c>
      <c r="E18" s="6" t="s">
        <v>98</v>
      </c>
      <c r="F18" s="6" t="s">
        <v>99</v>
      </c>
      <c r="G18" s="6" t="s">
        <v>105</v>
      </c>
      <c r="H18" s="6" t="s">
        <v>106</v>
      </c>
    </row>
    <row r="19" customFormat="false" ht="15" hidden="false" customHeight="false" outlineLevel="0" collapsed="false">
      <c r="A19" s="18" t="s">
        <v>39</v>
      </c>
      <c r="B19" s="19"/>
      <c r="C19" s="19"/>
      <c r="D19" s="20" t="n">
        <f aca="false">B11+B12</f>
        <v>310</v>
      </c>
      <c r="E19" s="20" t="n">
        <f aca="false">C11+C12</f>
        <v>310</v>
      </c>
      <c r="F19" s="20" t="n">
        <f aca="false">D11+D12</f>
        <v>395</v>
      </c>
      <c r="G19" s="8" t="n">
        <v>310</v>
      </c>
      <c r="H19" s="8" t="n">
        <v>395</v>
      </c>
    </row>
    <row r="20" customFormat="false" ht="15" hidden="false" customHeight="false" outlineLevel="0" collapsed="false">
      <c r="A20" s="18" t="s">
        <v>42</v>
      </c>
      <c r="B20" s="22"/>
      <c r="C20" s="22"/>
      <c r="D20" s="23" t="n">
        <f aca="false">IFERROR((B11+B12)/B10,"")</f>
        <v>1.62218733647305</v>
      </c>
      <c r="E20" s="23" t="n">
        <f aca="false">IFERROR((C11+C12)/C10,"")</f>
        <v>1.77142857142857</v>
      </c>
      <c r="F20" s="23" t="n">
        <f aca="false">IFERROR((D11+D12)/D10,"")</f>
        <v>1.975</v>
      </c>
      <c r="G20" s="24" t="n">
        <v>1.771</v>
      </c>
      <c r="H20" s="24" t="n">
        <v>1.975</v>
      </c>
    </row>
    <row r="21" customFormat="false" ht="15" hidden="false" customHeight="false" outlineLevel="0" collapsed="false">
      <c r="A21" s="18" t="s">
        <v>40</v>
      </c>
      <c r="B21" s="22"/>
      <c r="C21" s="22"/>
      <c r="D21" s="23" t="n">
        <f aca="false">IFERROR(B11/B10,"")</f>
        <v>1.33437990580848</v>
      </c>
      <c r="E21" s="23" t="n">
        <f aca="false">IFERROR(C11/C10,"")</f>
        <v>1.45714285714286</v>
      </c>
      <c r="F21" s="23" t="n">
        <f aca="false">IFERROR(D11/D10,"")</f>
        <v>1.775</v>
      </c>
      <c r="G21" s="24" t="n">
        <v>1.457</v>
      </c>
      <c r="H21" s="24" t="n">
        <v>1.775</v>
      </c>
    </row>
    <row r="22" customFormat="false" ht="15" hidden="false" customHeight="false" outlineLevel="0" collapsed="false">
      <c r="A22" s="18" t="s">
        <v>43</v>
      </c>
      <c r="B22" s="26"/>
      <c r="C22" s="26"/>
      <c r="D22" s="27" t="n">
        <f aca="false">IFERROR(B11/(B11+B12),"")</f>
        <v>0.82258064516129</v>
      </c>
      <c r="E22" s="27" t="n">
        <f aca="false">IFERROR(C11/(C11+C12),"")</f>
        <v>0.82258064516129</v>
      </c>
      <c r="F22" s="27" t="n">
        <f aca="false">IFERROR(D11/(D11+D12),"")</f>
        <v>0.89873417721519</v>
      </c>
      <c r="G22" s="9" t="n">
        <v>0.82</v>
      </c>
      <c r="H22" s="9" t="n">
        <v>0.9</v>
      </c>
    </row>
    <row r="24" customFormat="false" ht="15" hidden="false" customHeight="false" outlineLevel="0" collapsed="false">
      <c r="A24" s="15" t="s">
        <v>107</v>
      </c>
      <c r="D24" s="53" t="n">
        <f aca="false">IFERROR((B11+B12)/B10,"")</f>
        <v>1.62218733647305</v>
      </c>
      <c r="G24" s="54" t="n">
        <v>1.622</v>
      </c>
    </row>
    <row r="25" customFormat="false" ht="15" hidden="false" customHeight="false" outlineLevel="0" collapsed="false">
      <c r="A25" s="15" t="s">
        <v>108</v>
      </c>
      <c r="D25" s="53" t="n">
        <f aca="false">IFERROR(B11/B10,"")</f>
        <v>1.33437990580848</v>
      </c>
      <c r="G25" s="54" t="n">
        <v>1.334</v>
      </c>
    </row>
    <row r="27" customFormat="false" ht="15" hidden="false" customHeight="false" outlineLevel="0" collapsed="false">
      <c r="A27" s="5" t="s">
        <v>109</v>
      </c>
    </row>
    <row r="28" customFormat="false" ht="15" hidden="false" customHeight="false" outlineLevel="0" collapsed="false">
      <c r="A28" s="6" t="s">
        <v>32</v>
      </c>
      <c r="B28" s="6" t="s">
        <v>110</v>
      </c>
      <c r="C28" s="6" t="s">
        <v>35</v>
      </c>
      <c r="D28" s="6" t="s">
        <v>36</v>
      </c>
    </row>
    <row r="29" customFormat="false" ht="15" hidden="false" customHeight="false" outlineLevel="0" collapsed="false">
      <c r="A29" s="18" t="s">
        <v>111</v>
      </c>
      <c r="B29" s="34" t="n">
        <f aca="false">IFERROR(ROUND((B13-C13)*10000,0),"")</f>
        <v>337</v>
      </c>
      <c r="C29" s="35" t="n">
        <v>337</v>
      </c>
      <c r="D29" s="21" t="str">
        <f aca="false">IFERROR(IF(ABS(B29-C29)&lt;=1,"OK","VARIANCE"),"")</f>
        <v>OK</v>
      </c>
    </row>
    <row r="30" customFormat="false" ht="15" hidden="false" customHeight="false" outlineLevel="0" collapsed="false">
      <c r="A30" s="18" t="s">
        <v>112</v>
      </c>
      <c r="B30" s="42" t="n">
        <f aca="false">IFERROR(ROUND(D20-E20,3),"")</f>
        <v>-0.149</v>
      </c>
      <c r="C30" s="43" t="n">
        <v>-0.149</v>
      </c>
      <c r="D30" s="21" t="str">
        <f aca="false">IFERROR(IF(ABS(B30-C30)&lt;=0.002,"OK","VARIANCE"),"")</f>
        <v>OK</v>
      </c>
    </row>
    <row r="31" customFormat="false" ht="15" hidden="false" customHeight="false" outlineLevel="0" collapsed="false">
      <c r="A31" s="18" t="s">
        <v>113</v>
      </c>
      <c r="B31" s="20" t="n">
        <f aca="false">B10-C10</f>
        <v>16.1</v>
      </c>
      <c r="C31" s="8" t="n">
        <v>16.1</v>
      </c>
      <c r="D31" s="21" t="str">
        <f aca="false">IFERROR(IF(ABS(B31-C31)&lt;=0.05,"OK","VARIANCE"),"")</f>
        <v>OK</v>
      </c>
    </row>
    <row r="32" customFormat="false" ht="15" hidden="false" customHeight="false" outlineLevel="0" collapsed="false">
      <c r="A32" s="18" t="s">
        <v>114</v>
      </c>
      <c r="B32" s="27" t="n">
        <f aca="false">IFERROR((B10-C10)/C10,"")</f>
        <v>0.092</v>
      </c>
      <c r="C32" s="9" t="n">
        <v>0.092</v>
      </c>
      <c r="D32" s="21" t="str">
        <f aca="false">IFERROR(IF(ABS(B32-C32)&lt;=0.005,"OK","VARIANCE"),"")</f>
        <v>OK</v>
      </c>
    </row>
    <row r="33" customFormat="false" ht="15" hidden="false" customHeight="false" outlineLevel="0" collapsed="false">
      <c r="A33" s="47" t="s">
        <v>115</v>
      </c>
    </row>
    <row r="35" customFormat="false" ht="15" hidden="false" customHeight="false" outlineLevel="0" collapsed="false">
      <c r="A35" s="5" t="s">
        <v>116</v>
      </c>
    </row>
    <row r="36" customFormat="false" ht="15" hidden="false" customHeight="false" outlineLevel="0" collapsed="false">
      <c r="A36" s="6" t="s">
        <v>32</v>
      </c>
      <c r="B36" s="6" t="s">
        <v>117</v>
      </c>
      <c r="C36" s="6" t="s">
        <v>99</v>
      </c>
      <c r="D36" s="6" t="s">
        <v>118</v>
      </c>
    </row>
    <row r="37" customFormat="false" ht="15" hidden="false" customHeight="false" outlineLevel="0" collapsed="false">
      <c r="A37" s="18" t="s">
        <v>52</v>
      </c>
      <c r="B37" s="43" t="n">
        <v>1.209</v>
      </c>
      <c r="C37" s="43" t="n">
        <v>1.316</v>
      </c>
      <c r="D37" s="49" t="s">
        <v>119</v>
      </c>
    </row>
    <row r="38" customFormat="false" ht="15" hidden="false" customHeight="false" outlineLevel="0" collapsed="false">
      <c r="A38" s="18" t="s">
        <v>55</v>
      </c>
      <c r="B38" s="31" t="n">
        <v>0.0339</v>
      </c>
      <c r="C38" s="31" t="n">
        <v>0.0477</v>
      </c>
      <c r="D38" s="49" t="s">
        <v>120</v>
      </c>
    </row>
    <row r="39" customFormat="false" ht="15" hidden="false" customHeight="false" outlineLevel="0" collapsed="false">
      <c r="A39" s="18" t="s">
        <v>48</v>
      </c>
      <c r="B39" s="31" t="n">
        <v>0.077</v>
      </c>
      <c r="C39" s="31" t="n">
        <v>0.077</v>
      </c>
      <c r="D39" s="49" t="s">
        <v>120</v>
      </c>
    </row>
    <row r="41" customFormat="false" ht="15" hidden="false" customHeight="false" outlineLevel="0" collapsed="false">
      <c r="A41" s="5" t="s">
        <v>121</v>
      </c>
    </row>
    <row r="42" customFormat="false" ht="15" hidden="false" customHeight="true" outlineLevel="0" collapsed="false">
      <c r="A42" s="17" t="s">
        <v>122</v>
      </c>
      <c r="B42" s="17"/>
      <c r="C42" s="17"/>
      <c r="D42" s="17"/>
      <c r="E42" s="17"/>
      <c r="F42" s="17"/>
      <c r="G42" s="17"/>
      <c r="H42" s="17"/>
    </row>
    <row r="43" customFormat="false" ht="15" hidden="false" customHeight="false" outlineLevel="0" collapsed="false">
      <c r="A43" s="17"/>
      <c r="B43" s="17"/>
      <c r="C43" s="17"/>
      <c r="D43" s="17"/>
      <c r="E43" s="17"/>
      <c r="F43" s="17"/>
      <c r="G43" s="17"/>
      <c r="H43" s="17"/>
    </row>
    <row r="44" customFormat="false" ht="15" hidden="false" customHeight="false" outlineLevel="0" collapsed="false">
      <c r="A44" s="17"/>
      <c r="B44" s="17"/>
      <c r="C44" s="17"/>
      <c r="D44" s="17"/>
      <c r="E44" s="17"/>
      <c r="F44" s="17"/>
      <c r="G44" s="17"/>
      <c r="H44" s="17"/>
    </row>
    <row r="45" customFormat="false" ht="15" hidden="false" customHeight="false" outlineLevel="0" collapsed="false">
      <c r="A45" s="6" t="s">
        <v>32</v>
      </c>
      <c r="B45" s="6" t="s">
        <v>117</v>
      </c>
      <c r="C45" s="6" t="s">
        <v>99</v>
      </c>
    </row>
    <row r="46" customFormat="false" ht="15" hidden="false" customHeight="false" outlineLevel="0" collapsed="false">
      <c r="A46" s="18" t="s">
        <v>123</v>
      </c>
      <c r="B46" s="30" t="n">
        <f aca="false">IFERROR((1+C13)/(1+B38)-1,"")</f>
        <v>0.0687687397233774</v>
      </c>
      <c r="C46" s="30" t="n">
        <f aca="false">IFERROR((1+D13)/(1+C38)-1,"")</f>
        <v>0.0704400114536603</v>
      </c>
    </row>
    <row r="47" customFormat="false" ht="15" hidden="false" customHeight="false" outlineLevel="0" collapsed="false">
      <c r="A47" s="18" t="s">
        <v>124</v>
      </c>
      <c r="B47" s="34" t="n">
        <f aca="false">IFERROR(ROUND((C46-B46)*10000,0),"")</f>
        <v>17</v>
      </c>
      <c r="C47" s="18"/>
    </row>
    <row r="48" customFormat="false" ht="15" hidden="false" customHeight="false" outlineLevel="0" collapsed="false">
      <c r="A48" s="21" t="s">
        <v>125</v>
      </c>
      <c r="B48" s="21" t="str">
        <f aca="false">IF(ABS(B47)&lt;=50,"Yes — both measured against effectively the same index path","CHECK")</f>
        <v>Yes — both measured against effectively the same index path</v>
      </c>
      <c r="C48" s="18"/>
    </row>
    <row r="49" customFormat="false" ht="15" hidden="false" customHeight="false" outlineLevel="0" collapsed="false">
      <c r="A49" s="18" t="s">
        <v>126</v>
      </c>
      <c r="B49" s="31" t="n">
        <v>0.0705</v>
      </c>
      <c r="C49" s="18"/>
    </row>
    <row r="51" customFormat="false" ht="15" hidden="false" customHeight="false" outlineLevel="0" collapsed="false">
      <c r="A51" s="5" t="s">
        <v>127</v>
      </c>
    </row>
    <row r="52" customFormat="false" ht="15" hidden="false" customHeight="false" outlineLevel="0" collapsed="false">
      <c r="A52" s="6" t="s">
        <v>32</v>
      </c>
      <c r="B52" s="6" t="s">
        <v>110</v>
      </c>
      <c r="C52" s="6" t="s">
        <v>35</v>
      </c>
    </row>
    <row r="53" customFormat="false" ht="15" hidden="false" customHeight="false" outlineLevel="0" collapsed="false">
      <c r="A53" s="18" t="s">
        <v>128</v>
      </c>
      <c r="B53" s="34" t="n">
        <f aca="false">IFERROR(ROUND((B13-D13)*10000,0),"")</f>
        <v>172</v>
      </c>
      <c r="C53" s="35" t="n">
        <v>172</v>
      </c>
    </row>
    <row r="54" customFormat="false" ht="15" hidden="false" customHeight="false" outlineLevel="0" collapsed="false">
      <c r="A54" s="18" t="s">
        <v>129</v>
      </c>
      <c r="B54" s="34" t="n">
        <f aca="false">IFERROR(ROUND((D13-C13)*10000,0),"")</f>
        <v>165</v>
      </c>
      <c r="C54" s="35" t="n">
        <v>165</v>
      </c>
    </row>
    <row r="55" customFormat="false" ht="15" hidden="false" customHeight="false" outlineLevel="0" collapsed="false">
      <c r="A55" s="18" t="s">
        <v>130</v>
      </c>
      <c r="B55" s="42" t="n">
        <f aca="false">IFERROR(ROUND(F20-E20,3),"")</f>
        <v>0.204</v>
      </c>
      <c r="C55" s="43" t="n">
        <v>0.204</v>
      </c>
    </row>
    <row r="56" customFormat="false" ht="15" hidden="false" customHeight="false" outlineLevel="0" collapsed="false">
      <c r="A56" s="18" t="s">
        <v>131</v>
      </c>
      <c r="B56" s="55" t="n">
        <f aca="false">IFERROR(ROUND((F22-E22)*100,0),"")</f>
        <v>8</v>
      </c>
      <c r="C56" s="56" t="n">
        <v>8</v>
      </c>
    </row>
    <row r="58" customFormat="false" ht="15" hidden="false" customHeight="false" outlineLevel="0" collapsed="false">
      <c r="A58" s="5" t="s">
        <v>132</v>
      </c>
    </row>
    <row r="59" customFormat="false" ht="15" hidden="false" customHeight="true" outlineLevel="0" collapsed="false">
      <c r="A59" s="17" t="s">
        <v>133</v>
      </c>
      <c r="B59" s="17"/>
      <c r="C59" s="17"/>
      <c r="D59" s="17"/>
      <c r="E59" s="17"/>
      <c r="F59" s="17"/>
      <c r="G59" s="17"/>
      <c r="H59" s="17"/>
    </row>
    <row r="60" customFormat="false" ht="15" hidden="false" customHeight="false" outlineLevel="0" collapsed="false">
      <c r="A60" s="17"/>
      <c r="B60" s="17"/>
      <c r="C60" s="17"/>
      <c r="D60" s="17"/>
      <c r="E60" s="17"/>
      <c r="F60" s="17"/>
      <c r="G60" s="17"/>
      <c r="H60" s="17"/>
    </row>
    <row r="61" customFormat="false" ht="15" hidden="false" customHeight="false" outlineLevel="0" collapsed="false">
      <c r="A61" s="17"/>
      <c r="B61" s="17"/>
      <c r="C61" s="17"/>
      <c r="D61" s="17"/>
      <c r="E61" s="17"/>
      <c r="F61" s="17"/>
      <c r="G61" s="17"/>
      <c r="H61" s="17"/>
    </row>
    <row r="62" customFormat="false" ht="15" hidden="false" customHeight="false" outlineLevel="0" collapsed="false">
      <c r="A62" s="17"/>
      <c r="B62" s="17"/>
      <c r="C62" s="17"/>
      <c r="D62" s="17"/>
      <c r="E62" s="17"/>
      <c r="F62" s="17"/>
      <c r="G62" s="17"/>
      <c r="H62" s="17"/>
    </row>
    <row r="64" customFormat="false" ht="15" hidden="false" customHeight="false" outlineLevel="0" collapsed="false">
      <c r="A64" s="5" t="s">
        <v>91</v>
      </c>
    </row>
    <row r="65" customFormat="false" ht="15" hidden="false" customHeight="true" outlineLevel="0" collapsed="false">
      <c r="A65" s="17" t="s">
        <v>134</v>
      </c>
      <c r="B65" s="17"/>
      <c r="C65" s="17"/>
      <c r="D65" s="17"/>
      <c r="E65" s="17"/>
      <c r="F65" s="17"/>
      <c r="G65" s="17"/>
      <c r="H65" s="17"/>
    </row>
    <row r="66" customFormat="false" ht="15" hidden="false" customHeight="false" outlineLevel="0" collapsed="false">
      <c r="A66" s="17"/>
      <c r="B66" s="17"/>
      <c r="C66" s="17"/>
      <c r="D66" s="17"/>
      <c r="E66" s="17"/>
      <c r="F66" s="17"/>
      <c r="G66" s="17"/>
      <c r="H66" s="17"/>
    </row>
  </sheetData>
  <mergeCells count="4">
    <mergeCell ref="A4:H6"/>
    <mergeCell ref="A42:H44"/>
    <mergeCell ref="A59:H62"/>
    <mergeCell ref="A65:H6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4" min="2" style="0" width="16"/>
    <col collapsed="false" customWidth="true" hidden="false" outlineLevel="0" max="5" min="5" style="0" width="46"/>
  </cols>
  <sheetData>
    <row r="1" customFormat="false" ht="17.35" hidden="false" customHeight="false" outlineLevel="0" collapsed="false">
      <c r="A1" s="1" t="s">
        <v>135</v>
      </c>
    </row>
    <row r="2" customFormat="false" ht="15" hidden="false" customHeight="false" outlineLevel="0" collapsed="false">
      <c r="A2" s="2" t="s">
        <v>136</v>
      </c>
    </row>
    <row r="5" customFormat="false" ht="15" hidden="false" customHeight="false" outlineLevel="0" collapsed="false">
      <c r="A5" s="6" t="s">
        <v>96</v>
      </c>
      <c r="B5" s="6" t="s">
        <v>35</v>
      </c>
      <c r="C5" s="6" t="s">
        <v>137</v>
      </c>
      <c r="D5" s="6" t="s">
        <v>37</v>
      </c>
      <c r="E5" s="6" t="s">
        <v>138</v>
      </c>
    </row>
    <row r="6" customFormat="false" ht="15" hidden="false" customHeight="false" outlineLevel="0" collapsed="false">
      <c r="A6" s="18" t="s">
        <v>139</v>
      </c>
      <c r="B6" s="18" t="s">
        <v>140</v>
      </c>
      <c r="C6" s="18" t="s">
        <v>140</v>
      </c>
      <c r="D6" s="18"/>
      <c r="E6" s="49" t="s">
        <v>141</v>
      </c>
    </row>
    <row r="7" customFormat="false" ht="15" hidden="false" customHeight="false" outlineLevel="0" collapsed="false">
      <c r="A7" s="18" t="s">
        <v>142</v>
      </c>
      <c r="B7" s="31" t="n">
        <v>0.1107</v>
      </c>
      <c r="C7" s="57" t="n">
        <f aca="false">'1. Case 1'!C32</f>
        <v>0.110672241691284</v>
      </c>
      <c r="D7" s="21" t="str">
        <f aca="false">IFERROR(IF(ABS(C7-B7)&lt;=0.0003,"OK","VARIANCE"),"")</f>
        <v>OK</v>
      </c>
      <c r="E7" s="49" t="s">
        <v>110</v>
      </c>
    </row>
    <row r="8" customFormat="false" ht="15" hidden="false" customHeight="false" outlineLevel="0" collapsed="false">
      <c r="A8" s="18" t="s">
        <v>143</v>
      </c>
      <c r="B8" s="43" t="n">
        <v>1.239</v>
      </c>
      <c r="C8" s="58" t="n">
        <f aca="false">'1. Case 1'!C40</f>
        <v>1.23870577554725</v>
      </c>
      <c r="D8" s="21" t="str">
        <f aca="false">IFERROR(IF(ABS(C8-B8)&lt;=0.002,"OK","VARIANCE"),"")</f>
        <v>OK</v>
      </c>
      <c r="E8" s="49" t="s">
        <v>110</v>
      </c>
    </row>
    <row r="9" customFormat="false" ht="15" hidden="false" customHeight="false" outlineLevel="0" collapsed="false">
      <c r="A9" s="18" t="s">
        <v>144</v>
      </c>
      <c r="B9" s="31" t="n">
        <v>0.0705</v>
      </c>
      <c r="C9" s="57" t="n">
        <f aca="false">'1. Case 1'!C42</f>
        <v>0.0705410758380066</v>
      </c>
      <c r="D9" s="21" t="str">
        <f aca="false">IFERROR(IF(ABS(C9-B9)&lt;=0.0003,"OK","VARIANCE"),"")</f>
        <v>OK</v>
      </c>
      <c r="E9" s="49" t="s">
        <v>110</v>
      </c>
    </row>
    <row r="10" customFormat="false" ht="15" hidden="false" customHeight="false" outlineLevel="0" collapsed="false">
      <c r="A10" s="18" t="s">
        <v>145</v>
      </c>
      <c r="B10" s="31" t="n">
        <v>0.038</v>
      </c>
      <c r="C10" s="57" t="n">
        <f aca="false">'1. Case 1'!C43</f>
        <v>0.0380397478166134</v>
      </c>
      <c r="D10" s="21" t="str">
        <f aca="false">IFERROR(IF(ABS(C10-B10)&lt;=0.0003,"OK","VARIANCE"),"")</f>
        <v>OK</v>
      </c>
      <c r="E10" s="49" t="s">
        <v>110</v>
      </c>
    </row>
    <row r="11" customFormat="false" ht="15" hidden="false" customHeight="false" outlineLevel="0" collapsed="false">
      <c r="A11" s="18" t="s">
        <v>146</v>
      </c>
      <c r="B11" s="24" t="n">
        <v>1.911</v>
      </c>
      <c r="C11" s="59" t="n">
        <f aca="false">'2. Case 2'!C18</f>
        <v>1.91111111111111</v>
      </c>
      <c r="D11" s="21" t="str">
        <f aca="false">IFERROR(IF(ABS(C11-B11)&lt;=0.001,"OK","VARIANCE"),"")</f>
        <v>OK</v>
      </c>
      <c r="E11" s="49" t="s">
        <v>147</v>
      </c>
    </row>
    <row r="12" customFormat="false" ht="15" hidden="false" customHeight="false" outlineLevel="0" collapsed="false">
      <c r="A12" s="18" t="s">
        <v>148</v>
      </c>
      <c r="B12" s="24" t="n">
        <v>1.589</v>
      </c>
      <c r="C12" s="59" t="n">
        <f aca="false">'2. Case 2'!C19</f>
        <v>1.58888888888889</v>
      </c>
      <c r="D12" s="21" t="str">
        <f aca="false">IFERROR(IF(ABS(C12-B12)&lt;=0.001,"OK","VARIANCE"),"")</f>
        <v>OK</v>
      </c>
      <c r="E12" s="49" t="s">
        <v>147</v>
      </c>
    </row>
    <row r="13" customFormat="false" ht="15" hidden="false" customHeight="false" outlineLevel="0" collapsed="false">
      <c r="A13" s="18" t="s">
        <v>149</v>
      </c>
      <c r="B13" s="31" t="n">
        <v>0.1372</v>
      </c>
      <c r="C13" s="57" t="n">
        <f aca="false">'2. Case 2'!C44</f>
        <v>0.137166666666667</v>
      </c>
      <c r="D13" s="21" t="str">
        <f aca="false">IFERROR(IF(ABS(C13-B13)&lt;=0.0003,"OK","VARIANCE"),"")</f>
        <v>OK</v>
      </c>
      <c r="E13" s="49" t="s">
        <v>150</v>
      </c>
    </row>
    <row r="14" customFormat="false" ht="15" hidden="false" customHeight="false" outlineLevel="0" collapsed="false">
      <c r="A14" s="18" t="s">
        <v>151</v>
      </c>
      <c r="B14" s="31" t="n">
        <v>0.1168</v>
      </c>
      <c r="C14" s="57" t="n">
        <f aca="false">'2. Case 2'!C45</f>
        <v>0.116793333333333</v>
      </c>
      <c r="D14" s="21" t="str">
        <f aca="false">IFERROR(IF(ABS(C14-B14)&lt;=0.0003,"OK","VARIANCE"),"")</f>
        <v>OK</v>
      </c>
      <c r="E14" s="49" t="s">
        <v>150</v>
      </c>
    </row>
    <row r="15" customFormat="false" ht="15" hidden="false" customHeight="false" outlineLevel="0" collapsed="false">
      <c r="A15" s="18" t="s">
        <v>152</v>
      </c>
      <c r="B15" s="31" t="n">
        <v>0.1178</v>
      </c>
      <c r="C15" s="57" t="n">
        <f aca="false">'2. Case 2'!C43</f>
        <v>0.118824203058462</v>
      </c>
      <c r="D15" s="21" t="str">
        <f aca="false">IFERROR(IF(ABS(C15-B15)&lt;=0.0003,"OK","VARIANCE"),"")</f>
        <v>VARIANCE</v>
      </c>
      <c r="E15" s="49" t="s">
        <v>153</v>
      </c>
    </row>
    <row r="16" customFormat="false" ht="15" hidden="false" customHeight="false" outlineLevel="0" collapsed="false">
      <c r="A16" s="18" t="s">
        <v>154</v>
      </c>
      <c r="B16" s="24" t="n">
        <v>1.771</v>
      </c>
      <c r="C16" s="59" t="n">
        <f aca="false">'3. Case 3'!E20</f>
        <v>1.77142857142857</v>
      </c>
      <c r="D16" s="21" t="str">
        <f aca="false">IFERROR(IF(ABS(C16-B16)&lt;=0.001,"OK","VARIANCE"),"")</f>
        <v>OK</v>
      </c>
      <c r="E16" s="49" t="s">
        <v>147</v>
      </c>
    </row>
    <row r="17" customFormat="false" ht="15" hidden="false" customHeight="false" outlineLevel="0" collapsed="false">
      <c r="A17" s="18" t="s">
        <v>155</v>
      </c>
      <c r="B17" s="24" t="n">
        <v>1.457</v>
      </c>
      <c r="C17" s="59" t="n">
        <f aca="false">'3. Case 3'!E21</f>
        <v>1.45714285714286</v>
      </c>
      <c r="D17" s="21" t="str">
        <f aca="false">IFERROR(IF(ABS(C17-B17)&lt;=0.001,"OK","VARIANCE"),"")</f>
        <v>OK</v>
      </c>
      <c r="E17" s="49" t="s">
        <v>147</v>
      </c>
    </row>
    <row r="18" customFormat="false" ht="15" hidden="false" customHeight="false" outlineLevel="0" collapsed="false">
      <c r="A18" s="18" t="s">
        <v>156</v>
      </c>
      <c r="B18" s="24" t="n">
        <v>1.622</v>
      </c>
      <c r="C18" s="59" t="n">
        <f aca="false">'3. Case 3'!D24</f>
        <v>1.62218733647305</v>
      </c>
      <c r="D18" s="21" t="str">
        <f aca="false">IFERROR(IF(ABS(C18-B18)&lt;=0.001,"OK","VARIANCE"),"")</f>
        <v>OK</v>
      </c>
      <c r="E18" s="49" t="s">
        <v>147</v>
      </c>
    </row>
    <row r="19" customFormat="false" ht="15" hidden="false" customHeight="false" outlineLevel="0" collapsed="false">
      <c r="A19" s="18" t="s">
        <v>157</v>
      </c>
      <c r="B19" s="24" t="n">
        <v>1.334</v>
      </c>
      <c r="C19" s="59" t="n">
        <f aca="false">'3. Case 3'!D25</f>
        <v>1.33437990580848</v>
      </c>
      <c r="D19" s="21" t="str">
        <f aca="false">IFERROR(IF(ABS(C19-B19)&lt;=0.001,"OK","VARIANCE"),"")</f>
        <v>OK</v>
      </c>
      <c r="E19" s="49" t="s">
        <v>147</v>
      </c>
    </row>
    <row r="20" customFormat="false" ht="15" hidden="false" customHeight="false" outlineLevel="0" collapsed="false">
      <c r="A20" s="18" t="s">
        <v>158</v>
      </c>
      <c r="B20" s="24" t="n">
        <v>1.975</v>
      </c>
      <c r="C20" s="59" t="n">
        <f aca="false">'3. Case 3'!F20</f>
        <v>1.975</v>
      </c>
      <c r="D20" s="21" t="str">
        <f aca="false">IFERROR(IF(ABS(C20-B20)&lt;=0.001,"OK","VARIANCE"),"")</f>
        <v>OK</v>
      </c>
      <c r="E20" s="49" t="s">
        <v>147</v>
      </c>
    </row>
    <row r="21" customFormat="false" ht="15" hidden="false" customHeight="false" outlineLevel="0" collapsed="false">
      <c r="A21" s="18" t="s">
        <v>159</v>
      </c>
      <c r="B21" s="24" t="n">
        <v>1.775</v>
      </c>
      <c r="C21" s="59" t="n">
        <f aca="false">'3. Case 3'!F21</f>
        <v>1.775</v>
      </c>
      <c r="D21" s="21" t="str">
        <f aca="false">IFERROR(IF(ABS(C21-B21)&lt;=0.001,"OK","VARIANCE"),"")</f>
        <v>OK</v>
      </c>
      <c r="E21" s="49" t="s">
        <v>147</v>
      </c>
    </row>
    <row r="22" customFormat="false" ht="15" hidden="false" customHeight="false" outlineLevel="0" collapsed="false">
      <c r="A22" s="18" t="s">
        <v>160</v>
      </c>
      <c r="B22" s="9" t="n">
        <v>0.82</v>
      </c>
      <c r="C22" s="60" t="n">
        <f aca="false">'3. Case 3'!E22</f>
        <v>0.82258064516129</v>
      </c>
      <c r="D22" s="21" t="str">
        <f aca="false">IFERROR(IF(ABS(C22-B22)&lt;=0.005,"OK","VARIANCE"),"")</f>
        <v>OK</v>
      </c>
      <c r="E22" s="49" t="s">
        <v>147</v>
      </c>
    </row>
    <row r="23" customFormat="false" ht="15" hidden="false" customHeight="false" outlineLevel="0" collapsed="false">
      <c r="A23" s="18" t="s">
        <v>161</v>
      </c>
      <c r="B23" s="9" t="n">
        <v>0.9</v>
      </c>
      <c r="C23" s="60" t="n">
        <f aca="false">'3. Case 3'!F22</f>
        <v>0.89873417721519</v>
      </c>
      <c r="D23" s="21" t="str">
        <f aca="false">IFERROR(IF(ABS(C23-B23)&lt;=0.005,"OK","VARIANCE"),"")</f>
        <v>OK</v>
      </c>
      <c r="E23" s="49" t="s">
        <v>147</v>
      </c>
    </row>
    <row r="24" customFormat="false" ht="15" hidden="false" customHeight="false" outlineLevel="0" collapsed="false">
      <c r="A24" s="18" t="s">
        <v>162</v>
      </c>
      <c r="B24" s="35" t="n">
        <v>337</v>
      </c>
      <c r="C24" s="61" t="n">
        <f aca="false">'3. Case 3'!B29</f>
        <v>337</v>
      </c>
      <c r="D24" s="21" t="str">
        <f aca="false">IFERROR(IF(ABS(C24-B24)&lt;=2,"OK","VARIANCE"),"")</f>
        <v>OK</v>
      </c>
      <c r="E24" s="49" t="s">
        <v>163</v>
      </c>
    </row>
    <row r="25" customFormat="false" ht="15" hidden="false" customHeight="false" outlineLevel="0" collapsed="false">
      <c r="A25" s="18" t="s">
        <v>164</v>
      </c>
      <c r="B25" s="43" t="n">
        <v>-0.149</v>
      </c>
      <c r="C25" s="58" t="n">
        <f aca="false">'3. Case 3'!B30</f>
        <v>-0.149</v>
      </c>
      <c r="D25" s="21" t="str">
        <f aca="false">IFERROR(IF(ABS(C25-B25)&lt;=0.002,"OK","VARIANCE"),"")</f>
        <v>OK</v>
      </c>
      <c r="E25" s="49" t="s">
        <v>147</v>
      </c>
    </row>
    <row r="26" customFormat="false" ht="15" hidden="false" customHeight="false" outlineLevel="0" collapsed="false">
      <c r="A26" s="18" t="s">
        <v>165</v>
      </c>
      <c r="B26" s="18" t="s">
        <v>140</v>
      </c>
      <c r="C26" s="18" t="s">
        <v>140</v>
      </c>
      <c r="D26" s="18"/>
      <c r="E26" s="49" t="s">
        <v>166</v>
      </c>
    </row>
    <row r="27" customFormat="false" ht="15" hidden="false" customHeight="false" outlineLevel="0" collapsed="false">
      <c r="A27" s="18" t="s">
        <v>167</v>
      </c>
      <c r="B27" s="18" t="s">
        <v>140</v>
      </c>
      <c r="C27" s="18" t="s">
        <v>140</v>
      </c>
      <c r="D27" s="18"/>
      <c r="E27" s="49" t="s">
        <v>166</v>
      </c>
    </row>
    <row r="29" customFormat="false" ht="15" hidden="false" customHeight="false" outlineLevel="0" collapsed="false">
      <c r="A29" s="13" t="s">
        <v>168</v>
      </c>
      <c r="B29" s="62" t="n">
        <f aca="false">COUNTIF(D6:D27,"OK")</f>
        <v>18</v>
      </c>
      <c r="C29" s="62" t="n">
        <f aca="false">COUNTIF(D6:D27,"OK")+COUNTIF(D6:D27,"VARIANCE")</f>
        <v>19</v>
      </c>
    </row>
    <row r="30" customFormat="false" ht="15" hidden="false" customHeight="false" outlineLevel="0" collapsed="false">
      <c r="A30" s="13" t="s">
        <v>169</v>
      </c>
      <c r="B30" s="62" t="n">
        <f aca="false">COUNTIF(D6:D27,"VARIANCE")</f>
        <v>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2026-08-12T15:54:30Z</dcterms:created>
  <dc:creator>openpyxl</dc:creator>
  <dc:description/>
  <dc:language>en-US</dc:language>
  <cp:lastModifiedBy/>
  <dcterms:modified xsi:type="dcterms:W3CDTF">2026-08-12T15:54:30Z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