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2.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Read Me" sheetId="1" state="visible" r:id="rId3"/>
    <sheet name="1. Cash Flows" sheetId="2" state="visible" r:id="rId4"/>
    <sheet name="2. Multiples" sheetId="3" state="visible" r:id="rId5"/>
    <sheet name="3. IRR" sheetId="4" state="visible" r:id="rId6"/>
    <sheet name="4. Facility Test" sheetId="5" state="visible" r:id="rId7"/>
    <sheet name="5. PME" sheetId="6" state="visible" r:id="rId8"/>
    <sheet name="6. Gross to Net" sheetId="7" state="visible" r:id="rId9"/>
    <sheet name="7. Reporting Line" sheetId="8" state="visible" r:id="rId10"/>
    <sheet name="8. Checks" sheetId="9" state="visible" r:id="rId11"/>
  </sheet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D20" authorId="0">
      <text>
        <r>
          <rPr>
            <sz val="10"/>
            <rFont val="Arial"/>
            <family val="2"/>
          </rPr>
          <t xml:space="preserve">Net of accrued carried interest, and dated the same as the cash flows. Chapter 6: an unrealized mark is an estimate, and the report must say how much of the answer rests on it.</t>
        </r>
      </text>
    </comment>
  </commentList>
</comments>
</file>

<file path=xl/sharedStrings.xml><?xml version="1.0" encoding="utf-8"?>
<sst xmlns="http://schemas.openxmlformats.org/spreadsheetml/2006/main" count="286" uniqueCount="230">
  <si>
    <t xml:space="preserve">Meridian Capital Partners IV — Complete Measurement</t>
  </si>
  <si>
    <t xml:space="preserve">Chapter 19 of Private Markets Performance, reproduced as a live model.</t>
  </si>
  <si>
    <t xml:space="preserve">What this file is</t>
  </si>
  <si>
    <t xml:space="preserve">Every figure printed in chapter 19 is recomputed here from the cash flow series and the index. Nothing is a typed-in result: change a contribution, a distribution, the residual value or an index return and every metric in the file moves.</t>
  </si>
  <si>
    <t xml:space="preserve">The fund is fictional. It is constructed to be internally consistent so the arithmetic can be followed — not to describe any real fund or to assert what any strategy returned.</t>
  </si>
  <si>
    <t xml:space="preserve">How to read the colours</t>
  </si>
  <si>
    <t xml:space="preserve">Blue text — an input. This is what you change.</t>
  </si>
  <si>
    <t xml:space="preserve">Black text — a formula. Do not overwrite it; if you do, the sheet stops being a model.</t>
  </si>
  <si>
    <t xml:space="preserve">Green text — a link to another sheet in this workbook.</t>
  </si>
  <si>
    <t xml:space="preserve">Yellow fill — an assumption that carries the answer. Change these first when you stress the model.</t>
  </si>
  <si>
    <t xml:space="preserve">Order of the sheets</t>
  </si>
  <si>
    <t xml:space="preserve">1. Cash Flows — the series, built once, used by every other sheet.</t>
  </si>
  <si>
    <t xml:space="preserve">2. Multiples — DPI, RVPI, TVPI and the realized share.</t>
  </si>
  <si>
    <t xml:space="preserve">3. IRR — since inception, and on realized flows only. The difference is the mark.</t>
  </si>
  <si>
    <t xml:space="preserve">4. Facility Test — what a subscription line would have done to the rate and the multiple.</t>
  </si>
  <si>
    <t xml:space="preserve">5. PME — the index, Kaplan-Schoar, Long-Nickels, PME+ and Direct Alpha.</t>
  </si>
  <si>
    <t xml:space="preserve">6. Gross to Net — the fee and expense bridge, and the net-of-everything figure.</t>
  </si>
  <si>
    <t xml:space="preserve">7. Reporting Line — the disclosure sentence, assembled from the cells above it.</t>
  </si>
  <si>
    <t xml:space="preserve">8. Checks — every number the book publishes, against what this file computes.</t>
  </si>
  <si>
    <t xml:space="preserve">Nothing here is locked, protected or watermarked. Break it, rebuild it, and see what moves.</t>
  </si>
  <si>
    <t xml:space="preserve">Step 1 — The cash flow series</t>
  </si>
  <si>
    <t xml:space="preserve">Built once, from the capital account statements, reconciled to the manager at every quarter end.</t>
  </si>
  <si>
    <t xml:space="preserve">Annual periods, so the arithmetic is legible. The institution's own model uses dated flows.</t>
  </si>
  <si>
    <t xml:space="preserve">Year</t>
  </si>
  <si>
    <t xml:space="preserve">Contributions</t>
  </si>
  <si>
    <t xml:space="preserve">Distributions</t>
  </si>
  <si>
    <t xml:space="preserve">Net cash flow</t>
  </si>
  <si>
    <t xml:space="preserve">Cumulative net</t>
  </si>
  <si>
    <t xml:space="preserve">Total</t>
  </si>
  <si>
    <t xml:space="preserve">Residual value</t>
  </si>
  <si>
    <t xml:space="preserve">Residual net asset value at year 9, net of accrued carried interest</t>
  </si>
  <si>
    <t xml:space="preserve">Total value  =  distributions received  +  residual value</t>
  </si>
  <si>
    <t xml:space="preserve">Paid-in capital  (contributions, including capital called for fees and expenses)</t>
  </si>
  <si>
    <t xml:space="preserve">Cash flow with the residual value as a terminal flow</t>
  </si>
  <si>
    <t xml:space="preserve">Used by the since-inception IRR and by every PME method. The residual value is added to year 9.</t>
  </si>
  <si>
    <t xml:space="preserve">Net flow</t>
  </si>
  <si>
    <t xml:space="preserve">Flow incl. NAV</t>
  </si>
  <si>
    <t xml:space="preserve">Sanity checks</t>
  </si>
  <si>
    <t xml:space="preserve">Check</t>
  </si>
  <si>
    <t xml:space="preserve">Left</t>
  </si>
  <si>
    <t xml:space="preserve">Right</t>
  </si>
  <si>
    <t xml:space="preserve">Status</t>
  </si>
  <si>
    <t xml:space="preserve">Net flows sum to distributions less contributions</t>
  </si>
  <si>
    <t xml:space="preserve">Total value equals 410.0 + 85.0</t>
  </si>
  <si>
    <t xml:space="preserve">Flow-incl-NAV series sums to net plus NAV</t>
  </si>
  <si>
    <t xml:space="preserve">Step 2 — Multiples</t>
  </si>
  <si>
    <t xml:space="preserve">No timing sensitivity at all. This is why the multiple belongs beside the rate.</t>
  </si>
  <si>
    <t xml:space="preserve">Measure</t>
  </si>
  <si>
    <t xml:space="preserve">Numerator</t>
  </si>
  <si>
    <t xml:space="preserve">Denominator</t>
  </si>
  <si>
    <t xml:space="preserve">Computed</t>
  </si>
  <si>
    <t xml:space="preserve">Book</t>
  </si>
  <si>
    <t xml:space="preserve">Variance</t>
  </si>
  <si>
    <t xml:space="preserve">DPI  — distributions to paid-in</t>
  </si>
  <si>
    <t xml:space="preserve">RVPI — residual value to paid-in</t>
  </si>
  <si>
    <t xml:space="preserve">TVPI — total value to paid-in</t>
  </si>
  <si>
    <t xml:space="preserve">Realized share  — DPI / TVPI</t>
  </si>
  <si>
    <t xml:space="preserve">83 percent of reported value has been received in cash. For a nine-year-old fund that is a healthy realization ratio, and it means the reported performance rests only lightly on the manager's marks.</t>
  </si>
  <si>
    <t xml:space="preserve">The unrealized half</t>
  </si>
  <si>
    <t xml:space="preserve">Unrealized share of total value  (1 − realized share)</t>
  </si>
  <si>
    <t xml:space="preserve">Residual value at risk if marks fall 25 percent</t>
  </si>
  <si>
    <t xml:space="preserve">TVPI on that stress</t>
  </si>
  <si>
    <t xml:space="preserve">Chapter 6: the question is never whether the mark is right, but how much of the answer depends on it.</t>
  </si>
  <si>
    <t xml:space="preserve">Step 3 — The internal rate of return</t>
  </si>
  <si>
    <t xml:space="preserve">It measures a real thing: the compound rate the money earned, given when it moved.</t>
  </si>
  <si>
    <t xml:space="preserve">Realized flows only</t>
  </si>
  <si>
    <t xml:space="preserve">Flows including residual value</t>
  </si>
  <si>
    <t xml:space="preserve">Rates</t>
  </si>
  <si>
    <t xml:space="preserve">Since-inception net IRR  (residual value as a terminal flow)</t>
  </si>
  <si>
    <t xml:space="preserve">IRR on realized flows only  (residual value excluded)</t>
  </si>
  <si>
    <t xml:space="preserve">Contribution of the 85.0 mark</t>
  </si>
  <si>
    <t xml:space="preserve">Reporting both figures is the practice recommended in chapter 6, and this is why: it quantifies exactly how much of the headline depends on an estimate.</t>
  </si>
  <si>
    <t xml:space="preserve">Multiple-solution test</t>
  </si>
  <si>
    <t xml:space="preserve">Number of sign changes in the flow series</t>
  </si>
  <si>
    <t xml:space="preserve">More than one sign change means the IRR may have multiple solutions</t>
  </si>
  <si>
    <t xml:space="preserve">Step 4 — The subscription facility test</t>
  </si>
  <si>
    <t xml:space="preserve">The manager confirms no facility was used. This sheet prices what one would have done.</t>
  </si>
  <si>
    <t xml:space="preserve">Assumptions</t>
  </si>
  <si>
    <t xml:space="preserve">Deferral of capital calls (years)</t>
  </si>
  <si>
    <t xml:space="preserve">Carrying cost of the facility (per year)</t>
  </si>
  <si>
    <t xml:space="preserve">Financing cost applied to each call  =  call × cost × deferral</t>
  </si>
  <si>
    <t xml:space="preserve">Restated flows</t>
  </si>
  <si>
    <t xml:space="preserve">Actual net flow</t>
  </si>
  <si>
    <t xml:space="preserve">Call deferred to</t>
  </si>
  <si>
    <t xml:space="preserve">Contribution incl. financing</t>
  </si>
  <si>
    <t xml:space="preserve">Distribution</t>
  </si>
  <si>
    <t xml:space="preserve">Restated net flow</t>
  </si>
  <si>
    <t xml:space="preserve">Result</t>
  </si>
  <si>
    <t xml:space="preserve">Actual</t>
  </si>
  <si>
    <t xml:space="preserve">With a facility</t>
  </si>
  <si>
    <t xml:space="preserve">Delta</t>
  </si>
  <si>
    <t xml:space="preserve">Book — actual</t>
  </si>
  <si>
    <t xml:space="preserve">Book — with facility</t>
  </si>
  <si>
    <t xml:space="preserve">Since-inception IRR</t>
  </si>
  <si>
    <t xml:space="preserve">TVPI</t>
  </si>
  <si>
    <t xml:space="preserve">DECLARED VARIANCE — read this before quoting the facility figures.</t>
  </si>
  <si>
    <t xml:space="preserve">The book states the facility case as an illustration and does not fix its financing convention. This sheet applies the carrying cost to each call in full, for the full deferral period — the conservative, auditable reading — and gets 12.50% and 1.754x against the book's 12.37% and 1.788x. Charging the cost on the average outstanding balance instead (half-year convention) gives 1.793x, close to the book's multiple, but 13.01% on the rate. No single convention reproduces both published figures, so both are shown rather than one being fitted. The conclusion is unaffected: a facility adds roughly 130 to 190 basis points to the rate and subtracts roughly 0.04 to 0.08 from the multiple, and this fund used none.</t>
  </si>
  <si>
    <t xml:space="preserve">Since no facility was used, this fund's rate is directly comparable to another fund's unlevered figure — and is not comparable to a facility-using fund's headline without adjustment.</t>
  </si>
  <si>
    <t xml:space="preserve">Step 5 — The public market equivalent</t>
  </si>
  <si>
    <t xml:space="preserve">The only measure that answers the allocation question: should the money have been here at all?</t>
  </si>
  <si>
    <t xml:space="preserve">The benchmark is a mid-cap equity total return index, matched to the fund's size segment and geography, selected in the investment policy before the fund was committed to.</t>
  </si>
  <si>
    <t xml:space="preserve">The index</t>
  </si>
  <si>
    <t xml:space="preserve">Index return</t>
  </si>
  <si>
    <t xml:space="preserve">Index level</t>
  </si>
  <si>
    <t xml:space="preserve">FV factor to year 9</t>
  </si>
  <si>
    <t xml:space="preserve">FV of contributions</t>
  </si>
  <si>
    <t xml:space="preserve">FV of distributions</t>
  </si>
  <si>
    <t xml:space="preserve">Direct Alpha flow</t>
  </si>
  <si>
    <t xml:space="preserve">Index level at year 9</t>
  </si>
  <si>
    <t xml:space="preserve">book</t>
  </si>
  <si>
    <t xml:space="preserve">Annualized index return</t>
  </si>
  <si>
    <t xml:space="preserve">Method 1 — Kaplan-Schoar</t>
  </si>
  <si>
    <t xml:space="preserve">Future value of contributions at the index</t>
  </si>
  <si>
    <t xml:space="preserve">Future value of distributions at the index</t>
  </si>
  <si>
    <t xml:space="preserve">Plus residual value (already at year 9, no compounding)</t>
  </si>
  <si>
    <t xml:space="preserve">Future value of distributions plus residual value</t>
  </si>
  <si>
    <t xml:space="preserve">KS PME  =  D27 / D24</t>
  </si>
  <si>
    <t xml:space="preserve">Terminal wealth advantage over the index</t>
  </si>
  <si>
    <t xml:space="preserve">Method 2 — Long-Nickels</t>
  </si>
  <si>
    <t xml:space="preserve">Invest each contribution in the index and withdraw each distribution from it. The terminal value of the synthetic portfolio replaces the fund's residual value in an IRR.</t>
  </si>
  <si>
    <t xml:space="preserve">Contribution</t>
  </si>
  <si>
    <t xml:space="preserve">Synthetic balance</t>
  </si>
  <si>
    <t xml:space="preserve">Synthetic terminal value</t>
  </si>
  <si>
    <t xml:space="preserve">Method usable?</t>
  </si>
  <si>
    <t xml:space="preserve">Negative, because the fund distributed more and earlier than the index could have supported. The method fails here — the failure mode described in chapter 9, and the reason PME+ exists.</t>
  </si>
  <si>
    <t xml:space="preserve">Method 3 — PME+</t>
  </si>
  <si>
    <t xml:space="preserve">Scale every distribution by lambda so the synthetic terminal value equals the fund's actual residual value.</t>
  </si>
  <si>
    <t xml:space="preserve">lambda  =  (FV contributions − residual value) / FV distributions</t>
  </si>
  <si>
    <t xml:space="preserve">Scaled distribution</t>
  </si>
  <si>
    <t xml:space="preserve">Scaled net flow</t>
  </si>
  <si>
    <t xml:space="preserve">PME+ rate — the index's IRR on the scaled series</t>
  </si>
  <si>
    <t xml:space="preserve">The fund's rate, for comparison</t>
  </si>
  <si>
    <t xml:space="preserve">Method 4 — Direct Alpha</t>
  </si>
  <si>
    <t xml:space="preserve">Discount every fund flow by the index and take the IRR of the adjusted series. Column I above.</t>
  </si>
  <si>
    <t xml:space="preserve">Direct Alpha — geometric excess per year</t>
  </si>
  <si>
    <t xml:space="preserve">Consistency check  (1 + fund IRR) / (1 + PME+ rate) − 1</t>
  </si>
  <si>
    <t xml:space="preserve">Gap between Direct Alpha and the consistency check</t>
  </si>
  <si>
    <t xml:space="preserve">Arithmetic difference of the two rates — NOT the annualized excess</t>
  </si>
  <si>
    <t xml:space="preserve">Overstatement if the arithmetic difference is quoted as excess</t>
  </si>
  <si>
    <t xml:space="preserve">The policy hurdle</t>
  </si>
  <si>
    <t xml:space="preserve">The policy benchmark is the index plus 300 basis points. The book applies the premium to the PME+ rate — the index return on this fund's own cash flow timing — not to the index's standalone annualized return. That convention is the correct one: it compares like with like on the same dates. Both bases are shown so the choice is visible rather than assumed.</t>
  </si>
  <si>
    <t xml:space="preserve">Policy premium over the index</t>
  </si>
  <si>
    <t xml:space="preserve">Hurdle on the PME+ base   (the book's convention)</t>
  </si>
  <si>
    <t xml:space="preserve">Margin over that hurdle</t>
  </si>
  <si>
    <t xml:space="preserve">Hurdle on the index's standalone annualized return, for reference</t>
  </si>
  <si>
    <t xml:space="preserve">Margin over that alternative hurdle</t>
  </si>
  <si>
    <t xml:space="preserve">Hurdle cleared?</t>
  </si>
  <si>
    <t xml:space="preserve">Step 6 — The gross-to-net bridge</t>
  </si>
  <si>
    <t xml:space="preserve">Produced at least annually. The first question about any gross figure is: gross of what?</t>
  </si>
  <si>
    <t xml:space="preserve">Fee terms</t>
  </si>
  <si>
    <t xml:space="preserve">Commitments</t>
  </si>
  <si>
    <t xml:space="preserve">Management fee, investment period (on commitments)</t>
  </si>
  <si>
    <t xml:space="preserve">Management fee, post-investment period (on invested cost)</t>
  </si>
  <si>
    <t xml:space="preserve">Investment period, years</t>
  </si>
  <si>
    <t xml:space="preserve">Fund expenses over the life</t>
  </si>
  <si>
    <t xml:space="preserve">Institution's own programme costs (on the allocation, per year)</t>
  </si>
  <si>
    <t xml:space="preserve">Fee schedule</t>
  </si>
  <si>
    <t xml:space="preserve">Basis</t>
  </si>
  <si>
    <t xml:space="preserve">Fee base</t>
  </si>
  <si>
    <t xml:space="preserve">Rate</t>
  </si>
  <si>
    <t xml:space="preserve">Management fee</t>
  </si>
  <si>
    <t xml:space="preserve">Expense share</t>
  </si>
  <si>
    <t xml:space="preserve">Total drag</t>
  </si>
  <si>
    <t xml:space="preserve">Invested cost</t>
  </si>
  <si>
    <t xml:space="preserve">Management fees over the fund's life</t>
  </si>
  <si>
    <t xml:space="preserve">As a percentage of commitments</t>
  </si>
  <si>
    <t xml:space="preserve">Fund expenses</t>
  </si>
  <si>
    <t xml:space="preserve">Total fund-level cost</t>
  </si>
  <si>
    <t xml:space="preserve">Restated flows, gross of fees and expenses</t>
  </si>
  <si>
    <t xml:space="preserve">Net contribution</t>
  </si>
  <si>
    <t xml:space="preserve">Net distribution</t>
  </si>
  <si>
    <t xml:space="preserve">Fee and expense drag</t>
  </si>
  <si>
    <t xml:space="preserve">Gross net flow</t>
  </si>
  <si>
    <t xml:space="preserve">The bridge</t>
  </si>
  <si>
    <t xml:space="preserve">Gross IRR</t>
  </si>
  <si>
    <t xml:space="preserve">Net IRR</t>
  </si>
  <si>
    <t xml:space="preserve">Gross-to-net gap</t>
  </si>
  <si>
    <t xml:space="preserve">Less the institution's own programme costs</t>
  </si>
  <si>
    <t xml:space="preserve">Net-of-everything return</t>
  </si>
  <si>
    <t xml:space="preserve">Margin over the policy hurdle, after programme costs</t>
  </si>
  <si>
    <t xml:space="preserve">The expense allocation is the one visible choice here: the book gives a life-of-fund expense total without a year-by-year split, so this sheet spreads it evenly. Concentrating expenses in the early years moves the gross rate by a few basis points and nothing else. The fee schedule itself reproduces the book exactly — 38.49 on 300.0 of commitments, 12.83 percent.</t>
  </si>
  <si>
    <t xml:space="preserve">Step 8 — The reporting line</t>
  </si>
  <si>
    <t xml:space="preserve">Assembled from the cells above it. Change an input and the sentence changes.</t>
  </si>
  <si>
    <t xml:space="preserve">The disclosure line</t>
  </si>
  <si>
    <t xml:space="preserve">What that line contains</t>
  </si>
  <si>
    <t xml:space="preserve">· the return</t>
  </si>
  <si>
    <t xml:space="preserve">· its reliability — the realized share</t>
  </si>
  <si>
    <t xml:space="preserve">· the comparison that matters — the PME</t>
  </si>
  <si>
    <t xml:space="preserve">· the cost — the gross-to-net gap</t>
  </si>
  <si>
    <t xml:space="preserve">· a decision framed as a question about the future</t>
  </si>
  <si>
    <t xml:space="preserve">What it does not contain</t>
  </si>
  <si>
    <t xml:space="preserve">· the word "strong"</t>
  </si>
  <si>
    <t xml:space="preserve">· any claim to precision beyond two significant figures</t>
  </si>
  <si>
    <t xml:space="preserve">· any number that cannot be reproduced from the cash flow series and a published index</t>
  </si>
  <si>
    <t xml:space="preserve">The three sentences for the committee</t>
  </si>
  <si>
    <t xml:space="preserve">The remaining two sentences — the size of the excess against nine years of illiquidity, and the re-up question — are judgement, not arithmetic, and belong to the person signing the memo. They are in the book at the end of chapter 19.</t>
  </si>
  <si>
    <t xml:space="preserve">Every figure the book publishes, against what this file computes</t>
  </si>
  <si>
    <t xml:space="preserve">If a status is not OK, the file is wrong until proved otherwise — not the book.</t>
  </si>
  <si>
    <t xml:space="preserve">Figure — chapter 19</t>
  </si>
  <si>
    <t xml:space="preserve">This file</t>
  </si>
  <si>
    <t xml:space="preserve">Paid-in capital</t>
  </si>
  <si>
    <t xml:space="preserve">Distributions received</t>
  </si>
  <si>
    <t xml:space="preserve">Total value</t>
  </si>
  <si>
    <t xml:space="preserve">DPI</t>
  </si>
  <si>
    <t xml:space="preserve">RVPI</t>
  </si>
  <si>
    <t xml:space="preserve">Realized share</t>
  </si>
  <si>
    <t xml:space="preserve">Since-inception net IRR</t>
  </si>
  <si>
    <t xml:space="preserve">IRR on realized flows only</t>
  </si>
  <si>
    <t xml:space="preserve">Contribution of the mark (bp)</t>
  </si>
  <si>
    <t xml:space="preserve">Index annualized return</t>
  </si>
  <si>
    <t xml:space="preserve">FV of contributions at the index</t>
  </si>
  <si>
    <t xml:space="preserve">FV of distributions at the index</t>
  </si>
  <si>
    <t xml:space="preserve">FV of distributions plus residual value</t>
  </si>
  <si>
    <t xml:space="preserve">Kaplan-Schoar PME</t>
  </si>
  <si>
    <t xml:space="preserve">Long-Nickels synthetic terminal value</t>
  </si>
  <si>
    <t xml:space="preserve">PME+ lambda</t>
  </si>
  <si>
    <t xml:space="preserve">PME+ rate</t>
  </si>
  <si>
    <t xml:space="preserve">Direct Alpha</t>
  </si>
  <si>
    <t xml:space="preserve">Consistency check (1+IRR)/(1+PME+)−1</t>
  </si>
  <si>
    <t xml:space="preserve">Policy hurdle, index plus 300 bp</t>
  </si>
  <si>
    <t xml:space="preserve">Margin over the hurdle (bp)</t>
  </si>
  <si>
    <t xml:space="preserve">Management fees over the life</t>
  </si>
  <si>
    <t xml:space="preserve">Fees as a share of commitments</t>
  </si>
  <si>
    <t xml:space="preserve">Gross-to-net gap (bp)</t>
  </si>
  <si>
    <t xml:space="preserve">Margin after programme costs (bp)</t>
  </si>
  <si>
    <t xml:space="preserve">Facility case — IRR</t>
  </si>
  <si>
    <t xml:space="preserve">Facility case — TVPI</t>
  </si>
  <si>
    <t xml:space="preserve">Figures matching the book</t>
  </si>
  <si>
    <t xml:space="preserve">Declared variances</t>
  </si>
  <si>
    <t xml:space="preserve">Two figures are expected to show a variance, and both are explained on their own sheet: the subscription facility case (sheet 4 — the book does not fix the financing convention) and the gross IRR (sheet 6 — the book does not publish the year-by-year expense split). Everything else reproduces the book exactly. A variance anywhere else means an input has been changed.</t>
  </si>
</sst>
</file>

<file path=xl/styles.xml><?xml version="1.0" encoding="utf-8"?>
<styleSheet xmlns="http://schemas.openxmlformats.org/spreadsheetml/2006/main">
  <numFmts count="10">
    <numFmt numFmtId="164" formatCode="General"/>
    <numFmt numFmtId="165" formatCode="0"/>
    <numFmt numFmtId="166" formatCode="#,##0.0;\(#,##0.0\);\-"/>
    <numFmt numFmtId="167" formatCode="0.000\x"/>
    <numFmt numFmtId="168" formatCode="0.000"/>
    <numFmt numFmtId="169" formatCode="0.0%"/>
    <numFmt numFmtId="170" formatCode="0.00%"/>
    <numFmt numFmtId="171" formatCode="#,##0&quot; bp&quot;"/>
    <numFmt numFmtId="172" formatCode="0.0"/>
    <numFmt numFmtId="173" formatCode="0.0000"/>
  </numFmts>
  <fonts count="15">
    <font>
      <sz val="11"/>
      <color theme="1"/>
      <name val="Calibri"/>
      <family val="2"/>
      <charset val="1"/>
    </font>
    <font>
      <sz val="10"/>
      <name val="Arial"/>
      <family val="0"/>
    </font>
    <font>
      <sz val="10"/>
      <name val="Arial"/>
      <family val="0"/>
    </font>
    <font>
      <sz val="10"/>
      <name val="Arial"/>
      <family val="0"/>
    </font>
    <font>
      <b val="true"/>
      <sz val="14"/>
      <color rgb="FF14171D"/>
      <name val="Arial"/>
      <family val="0"/>
      <charset val="1"/>
    </font>
    <font>
      <i val="true"/>
      <sz val="9"/>
      <color rgb="FF555555"/>
      <name val="Arial"/>
      <family val="0"/>
      <charset val="1"/>
    </font>
    <font>
      <b val="true"/>
      <sz val="11"/>
      <color rgb="FF14171D"/>
      <name val="Arial"/>
      <family val="0"/>
      <charset val="1"/>
    </font>
    <font>
      <sz val="10"/>
      <name val="Arial"/>
      <family val="0"/>
      <charset val="1"/>
    </font>
    <font>
      <sz val="9"/>
      <color rgb="FF555555"/>
      <name val="Arial"/>
      <family val="0"/>
      <charset val="1"/>
    </font>
    <font>
      <b val="true"/>
      <sz val="10"/>
      <color rgb="FFFFFFFF"/>
      <name val="Arial"/>
      <family val="0"/>
      <charset val="1"/>
    </font>
    <font>
      <sz val="10"/>
      <color rgb="FF0000FF"/>
      <name val="Arial"/>
      <family val="0"/>
      <charset val="1"/>
    </font>
    <font>
      <b val="true"/>
      <sz val="10"/>
      <name val="Arial"/>
      <family val="0"/>
      <charset val="1"/>
    </font>
    <font>
      <sz val="10"/>
      <name val="Arial"/>
      <family val="2"/>
    </font>
    <font>
      <sz val="10"/>
      <color rgb="FF008000"/>
      <name val="Arial"/>
      <family val="0"/>
      <charset val="1"/>
    </font>
    <font>
      <b val="true"/>
      <sz val="10"/>
      <color rgb="FF8A1C1C"/>
      <name val="Arial"/>
      <family val="0"/>
      <charset val="1"/>
    </font>
  </fonts>
  <fills count="4">
    <fill>
      <patternFill patternType="none"/>
    </fill>
    <fill>
      <patternFill patternType="gray125"/>
    </fill>
    <fill>
      <patternFill patternType="solid">
        <fgColor rgb="FF14171D"/>
        <bgColor rgb="FF000000"/>
      </patternFill>
    </fill>
    <fill>
      <patternFill patternType="solid">
        <fgColor rgb="FFFFFF00"/>
        <bgColor rgb="FFFFFF00"/>
      </patternFill>
    </fill>
  </fills>
  <borders count="3">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style="thin">
        <color rgb="FF333333"/>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center" vertical="bottom" textRotation="0" wrapText="tru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6" fontId="10" fillId="0" borderId="1" xfId="0" applyFont="true" applyBorder="true" applyAlignment="false" applyProtection="false">
      <alignment horizontal="general" vertical="bottom" textRotation="0" wrapText="false" indent="0" shrinkToFit="false"/>
      <protection locked="true" hidden="false"/>
    </xf>
    <xf numFmtId="166" fontId="7" fillId="0" borderId="1"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6" fontId="11" fillId="0" borderId="2"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6" fontId="10" fillId="3" borderId="0" xfId="0" applyFont="true" applyBorder="false" applyAlignment="false" applyProtection="false">
      <alignment horizontal="general" vertical="bottom" textRotation="0" wrapText="false" indent="0" shrinkToFit="false"/>
      <protection locked="true" hidden="false"/>
    </xf>
    <xf numFmtId="166" fontId="7"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6" fontId="13" fillId="0" borderId="1" xfId="0" applyFont="true" applyBorder="true" applyAlignment="false" applyProtection="false">
      <alignment horizontal="general" vertical="bottom" textRotation="0" wrapText="false" indent="0" shrinkToFit="false"/>
      <protection locked="true" hidden="false"/>
    </xf>
    <xf numFmtId="167" fontId="11" fillId="0" borderId="1" xfId="0" applyFont="true" applyBorder="true" applyAlignment="false" applyProtection="false">
      <alignment horizontal="general" vertical="bottom" textRotation="0" wrapText="false" indent="0" shrinkToFit="false"/>
      <protection locked="true" hidden="false"/>
    </xf>
    <xf numFmtId="167" fontId="10" fillId="0" borderId="1" xfId="0" applyFont="true" applyBorder="true" applyAlignment="false" applyProtection="false">
      <alignment horizontal="general" vertical="bottom" textRotation="0" wrapText="false" indent="0" shrinkToFit="false"/>
      <protection locked="true" hidden="false"/>
    </xf>
    <xf numFmtId="168" fontId="7" fillId="0" borderId="1" xfId="0" applyFont="true" applyBorder="true" applyAlignment="false" applyProtection="false">
      <alignment horizontal="general" vertical="bottom" textRotation="0" wrapText="false" indent="0" shrinkToFit="false"/>
      <protection locked="true" hidden="false"/>
    </xf>
    <xf numFmtId="167" fontId="7" fillId="0" borderId="1" xfId="0" applyFont="true" applyBorder="true" applyAlignment="false" applyProtection="false">
      <alignment horizontal="general" vertical="bottom" textRotation="0" wrapText="false" indent="0" shrinkToFit="false"/>
      <protection locked="true" hidden="false"/>
    </xf>
    <xf numFmtId="169" fontId="11" fillId="0" borderId="1" xfId="0" applyFont="true" applyBorder="true" applyAlignment="false" applyProtection="false">
      <alignment horizontal="general" vertical="bottom" textRotation="0" wrapText="false" indent="0" shrinkToFit="false"/>
      <protection locked="true" hidden="false"/>
    </xf>
    <xf numFmtId="169" fontId="10" fillId="0" borderId="1" xfId="0" applyFont="true" applyBorder="true" applyAlignment="false" applyProtection="false">
      <alignment horizontal="general" vertical="bottom" textRotation="0" wrapText="false" indent="0" shrinkToFit="false"/>
      <protection locked="true" hidden="false"/>
    </xf>
    <xf numFmtId="170" fontId="7" fillId="0"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bottom" textRotation="0" wrapText="true" indent="0" shrinkToFit="false"/>
      <protection locked="true" hidden="false"/>
    </xf>
    <xf numFmtId="169" fontId="7" fillId="0" borderId="0" xfId="0" applyFont="true" applyBorder="false" applyAlignment="false" applyProtection="false">
      <alignment horizontal="general" vertical="bottom" textRotation="0" wrapText="false" indent="0" shrinkToFit="false"/>
      <protection locked="true" hidden="false"/>
    </xf>
    <xf numFmtId="167" fontId="7" fillId="0" borderId="0" xfId="0" applyFont="true" applyBorder="false" applyAlignment="false" applyProtection="false">
      <alignment horizontal="general" vertical="bottom" textRotation="0" wrapText="false" indent="0" shrinkToFit="false"/>
      <protection locked="true" hidden="false"/>
    </xf>
    <xf numFmtId="170" fontId="11" fillId="0" borderId="1" xfId="0" applyFont="true" applyBorder="true" applyAlignment="false" applyProtection="false">
      <alignment horizontal="general" vertical="bottom" textRotation="0" wrapText="false" indent="0" shrinkToFit="false"/>
      <protection locked="true" hidden="false"/>
    </xf>
    <xf numFmtId="170" fontId="10" fillId="0" borderId="1" xfId="0" applyFont="true" applyBorder="true" applyAlignment="false" applyProtection="false">
      <alignment horizontal="general" vertical="bottom" textRotation="0" wrapText="false" indent="0" shrinkToFit="false"/>
      <protection locked="true" hidden="false"/>
    </xf>
    <xf numFmtId="171" fontId="7" fillId="0" borderId="1" xfId="0" applyFont="true" applyBorder="true" applyAlignment="false" applyProtection="false">
      <alignment horizontal="general" vertical="bottom" textRotation="0" wrapText="false" indent="0" shrinkToFit="false"/>
      <protection locked="true" hidden="false"/>
    </xf>
    <xf numFmtId="171" fontId="11" fillId="0" borderId="1" xfId="0" applyFont="true" applyBorder="true" applyAlignment="false" applyProtection="false">
      <alignment horizontal="general" vertical="bottom" textRotation="0" wrapText="false" indent="0" shrinkToFit="false"/>
      <protection locked="true" hidden="false"/>
    </xf>
    <xf numFmtId="171" fontId="10" fillId="0" borderId="1" xfId="0" applyFont="true" applyBorder="tru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72" fontId="10" fillId="3" borderId="0" xfId="0" applyFont="true" applyBorder="false" applyAlignment="false" applyProtection="false">
      <alignment horizontal="general" vertical="bottom" textRotation="0" wrapText="false" indent="0" shrinkToFit="false"/>
      <protection locked="true" hidden="false"/>
    </xf>
    <xf numFmtId="169" fontId="10" fillId="3" borderId="0" xfId="0" applyFont="true" applyBorder="false" applyAlignment="false" applyProtection="false">
      <alignment horizontal="general" vertical="bottom" textRotation="0" wrapText="false" indent="0" shrinkToFit="false"/>
      <protection locked="true" hidden="false"/>
    </xf>
    <xf numFmtId="170" fontId="13" fillId="0" borderId="1" xfId="0" applyFont="true" applyBorder="true" applyAlignment="false" applyProtection="false">
      <alignment horizontal="general" vertical="bottom" textRotation="0" wrapText="false" indent="0" shrinkToFit="false"/>
      <protection locked="true" hidden="false"/>
    </xf>
    <xf numFmtId="167" fontId="13" fillId="0" borderId="1"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9" fontId="7" fillId="0" borderId="1" xfId="0" applyFont="true" applyBorder="true" applyAlignment="false" applyProtection="false">
      <alignment horizontal="general" vertical="bottom" textRotation="0" wrapText="false" indent="0" shrinkToFit="false"/>
      <protection locked="true" hidden="false"/>
    </xf>
    <xf numFmtId="172" fontId="10" fillId="0" borderId="1" xfId="0" applyFont="true" applyBorder="true" applyAlignment="false" applyProtection="false">
      <alignment horizontal="general" vertical="bottom" textRotation="0" wrapText="false" indent="0" shrinkToFit="false"/>
      <protection locked="true" hidden="false"/>
    </xf>
    <xf numFmtId="173" fontId="7" fillId="0" borderId="1" xfId="0" applyFont="true" applyBorder="true" applyAlignment="false" applyProtection="false">
      <alignment horizontal="general" vertical="bottom" textRotation="0" wrapText="false" indent="0" shrinkToFit="false"/>
      <protection locked="true" hidden="false"/>
    </xf>
    <xf numFmtId="172" fontId="7" fillId="0" borderId="1" xfId="0" applyFont="true" applyBorder="true" applyAlignment="false" applyProtection="false">
      <alignment horizontal="general" vertical="bottom" textRotation="0" wrapText="false" indent="0" shrinkToFit="false"/>
      <protection locked="true" hidden="false"/>
    </xf>
    <xf numFmtId="172" fontId="7" fillId="0" borderId="0" xfId="0" applyFont="true" applyBorder="false" applyAlignment="false" applyProtection="false">
      <alignment horizontal="general" vertical="bottom" textRotation="0" wrapText="false" indent="0" shrinkToFit="false"/>
      <protection locked="true" hidden="false"/>
    </xf>
    <xf numFmtId="172" fontId="10" fillId="0" borderId="0" xfId="0" applyFont="true" applyBorder="false" applyAlignment="false" applyProtection="false">
      <alignment horizontal="general" vertical="bottom" textRotation="0" wrapText="false" indent="0" shrinkToFit="false"/>
      <protection locked="true" hidden="false"/>
    </xf>
    <xf numFmtId="170" fontId="11" fillId="0" borderId="0" xfId="0" applyFont="true" applyBorder="false" applyAlignment="false" applyProtection="false">
      <alignment horizontal="general" vertical="bottom" textRotation="0" wrapText="false" indent="0" shrinkToFit="false"/>
      <protection locked="true" hidden="false"/>
    </xf>
    <xf numFmtId="170" fontId="10" fillId="0" borderId="0" xfId="0" applyFont="true" applyBorder="false" applyAlignment="false" applyProtection="false">
      <alignment horizontal="general" vertical="bottom" textRotation="0" wrapText="false" indent="0" shrinkToFit="false"/>
      <protection locked="true" hidden="false"/>
    </xf>
    <xf numFmtId="166" fontId="10" fillId="0" borderId="0" xfId="0" applyFont="true" applyBorder="false" applyAlignment="false" applyProtection="false">
      <alignment horizontal="general" vertical="bottom" textRotation="0" wrapText="false" indent="0" shrinkToFit="false"/>
      <protection locked="true" hidden="false"/>
    </xf>
    <xf numFmtId="166" fontId="13" fillId="0" borderId="0" xfId="0" applyFont="true" applyBorder="false" applyAlignment="false" applyProtection="false">
      <alignment horizontal="general" vertical="bottom" textRotation="0" wrapText="false" indent="0" shrinkToFit="false"/>
      <protection locked="true" hidden="false"/>
    </xf>
    <xf numFmtId="168" fontId="11" fillId="3" borderId="0" xfId="0" applyFont="true" applyBorder="false" applyAlignment="false" applyProtection="false">
      <alignment horizontal="general" vertical="bottom" textRotation="0" wrapText="false" indent="0" shrinkToFit="false"/>
      <protection locked="true" hidden="false"/>
    </xf>
    <xf numFmtId="168" fontId="10" fillId="0" borderId="0" xfId="0" applyFont="true" applyBorder="false" applyAlignment="false" applyProtection="false">
      <alignment horizontal="general" vertical="bottom" textRotation="0" wrapText="false" indent="0" shrinkToFit="false"/>
      <protection locked="true" hidden="false"/>
    </xf>
    <xf numFmtId="166" fontId="11" fillId="0" borderId="0" xfId="0" applyFont="true" applyBorder="false" applyAlignment="false" applyProtection="false">
      <alignment horizontal="general" vertical="bottom" textRotation="0" wrapText="false" indent="0" shrinkToFit="false"/>
      <protection locked="true" hidden="false"/>
    </xf>
    <xf numFmtId="173" fontId="11" fillId="3" borderId="0" xfId="0" applyFont="true" applyBorder="false" applyAlignment="false" applyProtection="false">
      <alignment horizontal="general" vertical="bottom" textRotation="0" wrapText="false" indent="0" shrinkToFit="false"/>
      <protection locked="true" hidden="false"/>
    </xf>
    <xf numFmtId="173" fontId="10" fillId="0" borderId="0" xfId="0" applyFont="true" applyBorder="false" applyAlignment="false" applyProtection="false">
      <alignment horizontal="general" vertical="bottom" textRotation="0" wrapText="false" indent="0" shrinkToFit="false"/>
      <protection locked="true" hidden="false"/>
    </xf>
    <xf numFmtId="170" fontId="11" fillId="3" borderId="0" xfId="0" applyFont="true" applyBorder="false" applyAlignment="false" applyProtection="false">
      <alignment horizontal="general" vertical="bottom" textRotation="0" wrapText="false" indent="0" shrinkToFit="false"/>
      <protection locked="true" hidden="false"/>
    </xf>
    <xf numFmtId="170" fontId="13" fillId="0" borderId="0" xfId="0" applyFont="true" applyBorder="false" applyAlignment="false" applyProtection="false">
      <alignment horizontal="general" vertical="bottom" textRotation="0" wrapText="false" indent="0" shrinkToFit="false"/>
      <protection locked="true" hidden="false"/>
    </xf>
    <xf numFmtId="170" fontId="7" fillId="0" borderId="0" xfId="0" applyFont="true" applyBorder="false" applyAlignment="false" applyProtection="false">
      <alignment horizontal="general" vertical="bottom" textRotation="0" wrapText="false" indent="0" shrinkToFit="false"/>
      <protection locked="true" hidden="false"/>
    </xf>
    <xf numFmtId="171" fontId="7" fillId="0" borderId="0" xfId="0" applyFont="true" applyBorder="false" applyAlignment="false" applyProtection="false">
      <alignment horizontal="general" vertical="bottom" textRotation="0" wrapText="false" indent="0" shrinkToFit="false"/>
      <protection locked="true" hidden="false"/>
    </xf>
    <xf numFmtId="171" fontId="11" fillId="0" borderId="0" xfId="0" applyFont="true" applyBorder="false" applyAlignment="false" applyProtection="false">
      <alignment horizontal="general" vertical="bottom" textRotation="0" wrapText="false" indent="0" shrinkToFit="false"/>
      <protection locked="true" hidden="false"/>
    </xf>
    <xf numFmtId="171" fontId="10" fillId="0" borderId="0" xfId="0" applyFont="true" applyBorder="false" applyAlignment="false" applyProtection="false">
      <alignment horizontal="general" vertical="bottom"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xf numFmtId="170" fontId="10" fillId="3"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9" fontId="13" fillId="0" borderId="1" xfId="0" applyFont="true" applyBorder="true" applyAlignment="false" applyProtection="false">
      <alignment horizontal="general" vertical="bottom" textRotation="0" wrapText="false" indent="0" shrinkToFit="false"/>
      <protection locked="true" hidden="false"/>
    </xf>
    <xf numFmtId="171" fontId="13" fillId="0" borderId="1" xfId="0" applyFont="true" applyBorder="true" applyAlignment="false" applyProtection="false">
      <alignment horizontal="general" vertical="bottom" textRotation="0" wrapText="false" indent="0" shrinkToFit="false"/>
      <protection locked="true" hidden="false"/>
    </xf>
    <xf numFmtId="172" fontId="13" fillId="0" borderId="1" xfId="0" applyFont="true" applyBorder="true" applyAlignment="false" applyProtection="false">
      <alignment horizontal="general" vertical="bottom" textRotation="0" wrapText="false" indent="0" shrinkToFit="false"/>
      <protection locked="true" hidden="false"/>
    </xf>
    <xf numFmtId="168" fontId="10" fillId="0" borderId="1" xfId="0" applyFont="true" applyBorder="true" applyAlignment="false" applyProtection="false">
      <alignment horizontal="general" vertical="bottom" textRotation="0" wrapText="false" indent="0" shrinkToFit="false"/>
      <protection locked="true" hidden="false"/>
    </xf>
    <xf numFmtId="168" fontId="13" fillId="0" borderId="1" xfId="0" applyFont="true" applyBorder="true" applyAlignment="false" applyProtection="false">
      <alignment horizontal="general" vertical="bottom" textRotation="0" wrapText="false" indent="0" shrinkToFit="false"/>
      <protection locked="true" hidden="false"/>
    </xf>
    <xf numFmtId="173" fontId="10" fillId="0" borderId="1" xfId="0" applyFont="true" applyBorder="true" applyAlignment="false" applyProtection="false">
      <alignment horizontal="general" vertical="bottom" textRotation="0" wrapText="false" indent="0" shrinkToFit="false"/>
      <protection locked="true" hidden="false"/>
    </xf>
    <xf numFmtId="173" fontId="13" fillId="0" borderId="1" xfId="0" applyFont="true" applyBorder="tru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14171D"/>
      <rgbColor rgb="FF333300"/>
      <rgbColor rgb="FF8A1C1C"/>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0"/>
  </cols>
  <sheetData>
    <row r="1" customFormat="false" ht="17.35" hidden="false" customHeight="false" outlineLevel="0" collapsed="false">
      <c r="A1" s="1" t="s">
        <v>0</v>
      </c>
    </row>
    <row r="2" customFormat="false" ht="15" hidden="false" customHeight="false" outlineLevel="0" collapsed="false">
      <c r="A2" s="2" t="s">
        <v>1</v>
      </c>
    </row>
    <row r="5" customFormat="false" ht="15" hidden="false" customHeight="false" outlineLevel="0" collapsed="false">
      <c r="A5" s="3" t="s">
        <v>2</v>
      </c>
    </row>
    <row r="6" customFormat="false" ht="23.85" hidden="false" customHeight="false" outlineLevel="0" collapsed="false">
      <c r="A6" s="4" t="s">
        <v>3</v>
      </c>
    </row>
    <row r="8" customFormat="false" ht="23.85" hidden="false" customHeight="false" outlineLevel="0" collapsed="false">
      <c r="A8" s="4" t="s">
        <v>4</v>
      </c>
    </row>
    <row r="10" customFormat="false" ht="15" hidden="false" customHeight="false" outlineLevel="0" collapsed="false">
      <c r="A10" s="3" t="s">
        <v>5</v>
      </c>
    </row>
    <row r="11" customFormat="false" ht="15" hidden="false" customHeight="false" outlineLevel="0" collapsed="false">
      <c r="A11" s="4" t="s">
        <v>6</v>
      </c>
    </row>
    <row r="12" customFormat="false" ht="15" hidden="false" customHeight="false" outlineLevel="0" collapsed="false">
      <c r="A12" s="4" t="s">
        <v>7</v>
      </c>
    </row>
    <row r="13" customFormat="false" ht="15" hidden="false" customHeight="false" outlineLevel="0" collapsed="false">
      <c r="A13" s="4" t="s">
        <v>8</v>
      </c>
    </row>
    <row r="14" customFormat="false" ht="15" hidden="false" customHeight="false" outlineLevel="0" collapsed="false">
      <c r="A14" s="4" t="s">
        <v>9</v>
      </c>
    </row>
    <row r="16" customFormat="false" ht="15" hidden="false" customHeight="false" outlineLevel="0" collapsed="false">
      <c r="A16" s="3" t="s">
        <v>10</v>
      </c>
    </row>
    <row r="17" customFormat="false" ht="15" hidden="false" customHeight="false" outlineLevel="0" collapsed="false">
      <c r="A17" s="4" t="s">
        <v>11</v>
      </c>
    </row>
    <row r="18" customFormat="false" ht="15" hidden="false" customHeight="false" outlineLevel="0" collapsed="false">
      <c r="A18" s="4" t="s">
        <v>12</v>
      </c>
    </row>
    <row r="19" customFormat="false" ht="15" hidden="false" customHeight="false" outlineLevel="0" collapsed="false">
      <c r="A19" s="4" t="s">
        <v>13</v>
      </c>
    </row>
    <row r="20" customFormat="false" ht="15" hidden="false" customHeight="false" outlineLevel="0" collapsed="false">
      <c r="A20" s="4" t="s">
        <v>14</v>
      </c>
    </row>
    <row r="21" customFormat="false" ht="15" hidden="false" customHeight="false" outlineLevel="0" collapsed="false">
      <c r="A21" s="4" t="s">
        <v>15</v>
      </c>
    </row>
    <row r="22" customFormat="false" ht="15" hidden="false" customHeight="false" outlineLevel="0" collapsed="false">
      <c r="A22" s="4" t="s">
        <v>16</v>
      </c>
    </row>
    <row r="23" customFormat="false" ht="15" hidden="false" customHeight="false" outlineLevel="0" collapsed="false">
      <c r="A23" s="4" t="s">
        <v>17</v>
      </c>
    </row>
    <row r="24" customFormat="false" ht="15" hidden="false" customHeight="false" outlineLevel="0" collapsed="false">
      <c r="A24" s="4" t="s">
        <v>18</v>
      </c>
    </row>
    <row r="26" customFormat="false" ht="15" hidden="false" customHeight="false" outlineLevel="0" collapsed="false">
      <c r="A26" s="4" t="s">
        <v>19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4" min="2" style="0" width="16"/>
    <col collapsed="false" customWidth="true" hidden="false" outlineLevel="0" max="5" min="5" style="0" width="18"/>
    <col collapsed="false" customWidth="true" hidden="false" outlineLevel="0" max="7" min="6" style="0" width="14"/>
  </cols>
  <sheetData>
    <row r="1" customFormat="false" ht="17.35" hidden="false" customHeight="false" outlineLevel="0" collapsed="false">
      <c r="A1" s="1" t="s">
        <v>20</v>
      </c>
    </row>
    <row r="2" customFormat="false" ht="15" hidden="false" customHeight="false" outlineLevel="0" collapsed="false">
      <c r="A2" s="2" t="s">
        <v>21</v>
      </c>
    </row>
    <row r="4" customFormat="false" ht="15" hidden="false" customHeight="false" outlineLevel="0" collapsed="false">
      <c r="A4" s="5" t="s">
        <v>22</v>
      </c>
    </row>
    <row r="6" customFormat="false" ht="15" hidden="false" customHeight="false" outlineLevel="0" collapsed="false">
      <c r="A6" s="6" t="s">
        <v>23</v>
      </c>
      <c r="B6" s="6" t="s">
        <v>24</v>
      </c>
      <c r="C6" s="6" t="s">
        <v>25</v>
      </c>
      <c r="D6" s="6" t="s">
        <v>26</v>
      </c>
      <c r="E6" s="6" t="s">
        <v>27</v>
      </c>
    </row>
    <row r="7" customFormat="false" ht="15" hidden="false" customHeight="false" outlineLevel="0" collapsed="false">
      <c r="A7" s="7" t="n">
        <v>0</v>
      </c>
      <c r="B7" s="8" t="n">
        <v>60</v>
      </c>
      <c r="C7" s="8" t="n">
        <v>0</v>
      </c>
      <c r="D7" s="9" t="n">
        <f aca="false">C7-B7</f>
        <v>-60</v>
      </c>
      <c r="E7" s="9" t="n">
        <f aca="false">D7</f>
        <v>-60</v>
      </c>
    </row>
    <row r="8" customFormat="false" ht="15" hidden="false" customHeight="false" outlineLevel="0" collapsed="false">
      <c r="A8" s="7" t="n">
        <v>1</v>
      </c>
      <c r="B8" s="8" t="n">
        <v>75</v>
      </c>
      <c r="C8" s="8" t="n">
        <v>0</v>
      </c>
      <c r="D8" s="9" t="n">
        <f aca="false">C8-B8</f>
        <v>-75</v>
      </c>
      <c r="E8" s="9" t="n">
        <f aca="false">E7+D8</f>
        <v>-135</v>
      </c>
    </row>
    <row r="9" customFormat="false" ht="15" hidden="false" customHeight="false" outlineLevel="0" collapsed="false">
      <c r="A9" s="7" t="n">
        <v>2</v>
      </c>
      <c r="B9" s="8" t="n">
        <v>60</v>
      </c>
      <c r="C9" s="8" t="n">
        <v>0</v>
      </c>
      <c r="D9" s="9" t="n">
        <f aca="false">C9-B9</f>
        <v>-60</v>
      </c>
      <c r="E9" s="9" t="n">
        <f aca="false">E8+D9</f>
        <v>-195</v>
      </c>
    </row>
    <row r="10" customFormat="false" ht="15" hidden="false" customHeight="false" outlineLevel="0" collapsed="false">
      <c r="A10" s="7" t="n">
        <v>3</v>
      </c>
      <c r="B10" s="8" t="n">
        <v>45</v>
      </c>
      <c r="C10" s="8" t="n">
        <v>0</v>
      </c>
      <c r="D10" s="9" t="n">
        <f aca="false">C10-B10</f>
        <v>-45</v>
      </c>
      <c r="E10" s="9" t="n">
        <f aca="false">E9+D10</f>
        <v>-240</v>
      </c>
    </row>
    <row r="11" customFormat="false" ht="15" hidden="false" customHeight="false" outlineLevel="0" collapsed="false">
      <c r="A11" s="7" t="n">
        <v>4</v>
      </c>
      <c r="B11" s="8" t="n">
        <v>30</v>
      </c>
      <c r="C11" s="8" t="n">
        <v>0</v>
      </c>
      <c r="D11" s="9" t="n">
        <f aca="false">C11-B11</f>
        <v>-30</v>
      </c>
      <c r="E11" s="9" t="n">
        <f aca="false">E10+D11</f>
        <v>-270</v>
      </c>
    </row>
    <row r="12" customFormat="false" ht="15" hidden="false" customHeight="false" outlineLevel="0" collapsed="false">
      <c r="A12" s="7" t="n">
        <v>5</v>
      </c>
      <c r="B12" s="8" t="n">
        <v>0</v>
      </c>
      <c r="C12" s="8" t="n">
        <v>40</v>
      </c>
      <c r="D12" s="9" t="n">
        <f aca="false">C12-B12</f>
        <v>40</v>
      </c>
      <c r="E12" s="9" t="n">
        <f aca="false">E11+D12</f>
        <v>-230</v>
      </c>
    </row>
    <row r="13" customFormat="false" ht="15" hidden="false" customHeight="false" outlineLevel="0" collapsed="false">
      <c r="A13" s="7" t="n">
        <v>6</v>
      </c>
      <c r="B13" s="8" t="n">
        <v>0</v>
      </c>
      <c r="C13" s="8" t="n">
        <v>90</v>
      </c>
      <c r="D13" s="9" t="n">
        <f aca="false">C13-B13</f>
        <v>90</v>
      </c>
      <c r="E13" s="9" t="n">
        <f aca="false">E12+D13</f>
        <v>-140</v>
      </c>
    </row>
    <row r="14" customFormat="false" ht="15" hidden="false" customHeight="false" outlineLevel="0" collapsed="false">
      <c r="A14" s="7" t="n">
        <v>7</v>
      </c>
      <c r="B14" s="8" t="n">
        <v>0</v>
      </c>
      <c r="C14" s="8" t="n">
        <v>120</v>
      </c>
      <c r="D14" s="9" t="n">
        <f aca="false">C14-B14</f>
        <v>120</v>
      </c>
      <c r="E14" s="9" t="n">
        <f aca="false">E13+D14</f>
        <v>-20</v>
      </c>
    </row>
    <row r="15" customFormat="false" ht="15" hidden="false" customHeight="false" outlineLevel="0" collapsed="false">
      <c r="A15" s="7" t="n">
        <v>8</v>
      </c>
      <c r="B15" s="8" t="n">
        <v>0</v>
      </c>
      <c r="C15" s="8" t="n">
        <v>100</v>
      </c>
      <c r="D15" s="9" t="n">
        <f aca="false">C15-B15</f>
        <v>100</v>
      </c>
      <c r="E15" s="9" t="n">
        <f aca="false">E14+D15</f>
        <v>80</v>
      </c>
    </row>
    <row r="16" customFormat="false" ht="15" hidden="false" customHeight="false" outlineLevel="0" collapsed="false">
      <c r="A16" s="7" t="n">
        <v>9</v>
      </c>
      <c r="B16" s="8" t="n">
        <v>0</v>
      </c>
      <c r="C16" s="8" t="n">
        <v>60</v>
      </c>
      <c r="D16" s="9" t="n">
        <f aca="false">C16-B16</f>
        <v>60</v>
      </c>
      <c r="E16" s="9" t="n">
        <f aca="false">E15+D16</f>
        <v>140</v>
      </c>
    </row>
    <row r="17" customFormat="false" ht="15" hidden="false" customHeight="false" outlineLevel="0" collapsed="false">
      <c r="A17" s="10" t="s">
        <v>28</v>
      </c>
      <c r="B17" s="11" t="n">
        <f aca="false">SUM(B7:B16)</f>
        <v>270</v>
      </c>
      <c r="C17" s="11" t="n">
        <f aca="false">SUM(C7:C16)</f>
        <v>410</v>
      </c>
      <c r="D17" s="11" t="n">
        <f aca="false">SUM(D7:D16)</f>
        <v>140</v>
      </c>
      <c r="E17" s="11" t="n">
        <f aca="false">E16</f>
        <v>140</v>
      </c>
    </row>
    <row r="19" customFormat="false" ht="15" hidden="false" customHeight="false" outlineLevel="0" collapsed="false">
      <c r="A19" s="12" t="s">
        <v>29</v>
      </c>
    </row>
    <row r="20" customFormat="false" ht="15" hidden="false" customHeight="false" outlineLevel="0" collapsed="false">
      <c r="A20" s="13" t="s">
        <v>30</v>
      </c>
      <c r="D20" s="14" t="n">
        <v>85</v>
      </c>
    </row>
    <row r="21" customFormat="false" ht="15" hidden="false" customHeight="false" outlineLevel="0" collapsed="false">
      <c r="A21" s="13" t="s">
        <v>31</v>
      </c>
      <c r="D21" s="15" t="n">
        <f aca="false">C17+D20</f>
        <v>495</v>
      </c>
    </row>
    <row r="22" customFormat="false" ht="15" hidden="false" customHeight="false" outlineLevel="0" collapsed="false">
      <c r="A22" s="13" t="s">
        <v>32</v>
      </c>
      <c r="D22" s="15" t="n">
        <f aca="false">B17</f>
        <v>270</v>
      </c>
    </row>
    <row r="24" customFormat="false" ht="15" hidden="false" customHeight="false" outlineLevel="0" collapsed="false">
      <c r="A24" s="12" t="s">
        <v>33</v>
      </c>
    </row>
    <row r="25" customFormat="false" ht="15" hidden="false" customHeight="false" outlineLevel="0" collapsed="false">
      <c r="A25" s="5" t="s">
        <v>34</v>
      </c>
    </row>
    <row r="26" customFormat="false" ht="15" hidden="false" customHeight="false" outlineLevel="0" collapsed="false">
      <c r="A26" s="6" t="s">
        <v>23</v>
      </c>
      <c r="B26" s="6" t="s">
        <v>35</v>
      </c>
      <c r="C26" s="6" t="s">
        <v>36</v>
      </c>
    </row>
    <row r="27" customFormat="false" ht="15" hidden="false" customHeight="false" outlineLevel="0" collapsed="false">
      <c r="A27" s="7" t="n">
        <f aca="false">A7</f>
        <v>0</v>
      </c>
      <c r="B27" s="9" t="n">
        <f aca="false">D7</f>
        <v>-60</v>
      </c>
      <c r="C27" s="9" t="n">
        <f aca="false">B27</f>
        <v>-60</v>
      </c>
    </row>
    <row r="28" customFormat="false" ht="15" hidden="false" customHeight="false" outlineLevel="0" collapsed="false">
      <c r="A28" s="7" t="n">
        <f aca="false">A8</f>
        <v>1</v>
      </c>
      <c r="B28" s="9" t="n">
        <f aca="false">D8</f>
        <v>-75</v>
      </c>
      <c r="C28" s="9" t="n">
        <f aca="false">B28</f>
        <v>-75</v>
      </c>
    </row>
    <row r="29" customFormat="false" ht="15" hidden="false" customHeight="false" outlineLevel="0" collapsed="false">
      <c r="A29" s="7" t="n">
        <f aca="false">A9</f>
        <v>2</v>
      </c>
      <c r="B29" s="9" t="n">
        <f aca="false">D9</f>
        <v>-60</v>
      </c>
      <c r="C29" s="9" t="n">
        <f aca="false">B29</f>
        <v>-60</v>
      </c>
    </row>
    <row r="30" customFormat="false" ht="15" hidden="false" customHeight="false" outlineLevel="0" collapsed="false">
      <c r="A30" s="7" t="n">
        <f aca="false">A10</f>
        <v>3</v>
      </c>
      <c r="B30" s="9" t="n">
        <f aca="false">D10</f>
        <v>-45</v>
      </c>
      <c r="C30" s="9" t="n">
        <f aca="false">B30</f>
        <v>-45</v>
      </c>
    </row>
    <row r="31" customFormat="false" ht="15" hidden="false" customHeight="false" outlineLevel="0" collapsed="false">
      <c r="A31" s="7" t="n">
        <f aca="false">A11</f>
        <v>4</v>
      </c>
      <c r="B31" s="9" t="n">
        <f aca="false">D11</f>
        <v>-30</v>
      </c>
      <c r="C31" s="9" t="n">
        <f aca="false">B31</f>
        <v>-30</v>
      </c>
    </row>
    <row r="32" customFormat="false" ht="15" hidden="false" customHeight="false" outlineLevel="0" collapsed="false">
      <c r="A32" s="7" t="n">
        <f aca="false">A12</f>
        <v>5</v>
      </c>
      <c r="B32" s="9" t="n">
        <f aca="false">D12</f>
        <v>40</v>
      </c>
      <c r="C32" s="9" t="n">
        <f aca="false">B32</f>
        <v>40</v>
      </c>
    </row>
    <row r="33" customFormat="false" ht="15" hidden="false" customHeight="false" outlineLevel="0" collapsed="false">
      <c r="A33" s="7" t="n">
        <f aca="false">A13</f>
        <v>6</v>
      </c>
      <c r="B33" s="9" t="n">
        <f aca="false">D13</f>
        <v>90</v>
      </c>
      <c r="C33" s="9" t="n">
        <f aca="false">B33</f>
        <v>90</v>
      </c>
    </row>
    <row r="34" customFormat="false" ht="15" hidden="false" customHeight="false" outlineLevel="0" collapsed="false">
      <c r="A34" s="7" t="n">
        <f aca="false">A14</f>
        <v>7</v>
      </c>
      <c r="B34" s="9" t="n">
        <f aca="false">D14</f>
        <v>120</v>
      </c>
      <c r="C34" s="9" t="n">
        <f aca="false">B34</f>
        <v>120</v>
      </c>
    </row>
    <row r="35" customFormat="false" ht="15" hidden="false" customHeight="false" outlineLevel="0" collapsed="false">
      <c r="A35" s="7" t="n">
        <f aca="false">A15</f>
        <v>8</v>
      </c>
      <c r="B35" s="9" t="n">
        <f aca="false">D15</f>
        <v>100</v>
      </c>
      <c r="C35" s="9" t="n">
        <f aca="false">B35</f>
        <v>100</v>
      </c>
    </row>
    <row r="36" customFormat="false" ht="15" hidden="false" customHeight="false" outlineLevel="0" collapsed="false">
      <c r="A36" s="7" t="n">
        <f aca="false">A16</f>
        <v>9</v>
      </c>
      <c r="B36" s="9" t="n">
        <f aca="false">D16</f>
        <v>60</v>
      </c>
      <c r="C36" s="9" t="n">
        <f aca="false">B36+$D$20</f>
        <v>145</v>
      </c>
    </row>
    <row r="38" customFormat="false" ht="15" hidden="false" customHeight="false" outlineLevel="0" collapsed="false">
      <c r="A38" s="12" t="s">
        <v>37</v>
      </c>
    </row>
    <row r="39" customFormat="false" ht="15" hidden="false" customHeight="false" outlineLevel="0" collapsed="false">
      <c r="A39" s="6" t="s">
        <v>38</v>
      </c>
      <c r="B39" s="6" t="s">
        <v>39</v>
      </c>
      <c r="C39" s="6" t="s">
        <v>40</v>
      </c>
      <c r="D39" s="6" t="s">
        <v>41</v>
      </c>
    </row>
    <row r="40" customFormat="false" ht="15" hidden="false" customHeight="false" outlineLevel="0" collapsed="false">
      <c r="A40" s="16" t="s">
        <v>42</v>
      </c>
      <c r="B40" s="9" t="n">
        <f aca="false">D17</f>
        <v>140</v>
      </c>
      <c r="C40" s="9" t="n">
        <f aca="false">C17-B17</f>
        <v>140</v>
      </c>
      <c r="D40" s="17" t="str">
        <f aca="false">IF(ROUND(B40-C40,6)=0,"OK","CHECK")</f>
        <v>OK</v>
      </c>
    </row>
    <row r="41" customFormat="false" ht="15" hidden="false" customHeight="false" outlineLevel="0" collapsed="false">
      <c r="A41" s="16" t="s">
        <v>43</v>
      </c>
      <c r="B41" s="9" t="n">
        <f aca="false">D21</f>
        <v>495</v>
      </c>
      <c r="C41" s="9" t="n">
        <f aca="false">C17+D20</f>
        <v>495</v>
      </c>
      <c r="D41" s="17" t="str">
        <f aca="false">IF(ROUND(B41-C41,6)=0,"OK","CHECK")</f>
        <v>OK</v>
      </c>
    </row>
    <row r="42" customFormat="false" ht="15" hidden="false" customHeight="false" outlineLevel="0" collapsed="false">
      <c r="A42" s="16" t="s">
        <v>44</v>
      </c>
      <c r="B42" s="9" t="n">
        <f aca="false">SUM(C27:C36)</f>
        <v>225</v>
      </c>
      <c r="C42" s="9" t="n">
        <f aca="false">D17+D20</f>
        <v>225</v>
      </c>
      <c r="D42" s="17" t="str">
        <f aca="false">IF(ROUND(B42-C42,6)=0,"OK","CHECK")</f>
        <v>OK</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5" min="2" style="0" width="14"/>
    <col collapsed="false" customWidth="true" hidden="false" outlineLevel="0" max="6" min="6" style="0" width="40"/>
  </cols>
  <sheetData>
    <row r="1" customFormat="false" ht="17.35" hidden="false" customHeight="false" outlineLevel="0" collapsed="false">
      <c r="A1" s="1" t="s">
        <v>45</v>
      </c>
    </row>
    <row r="2" customFormat="false" ht="15" hidden="false" customHeight="false" outlineLevel="0" collapsed="false">
      <c r="A2" s="2" t="s">
        <v>46</v>
      </c>
    </row>
    <row r="5" customFormat="false" ht="15" hidden="false" customHeight="false" outlineLevel="0" collapsed="false">
      <c r="A5" s="6" t="s">
        <v>47</v>
      </c>
      <c r="B5" s="6" t="s">
        <v>48</v>
      </c>
      <c r="C5" s="6" t="s">
        <v>49</v>
      </c>
      <c r="D5" s="6" t="s">
        <v>50</v>
      </c>
      <c r="E5" s="6" t="s">
        <v>51</v>
      </c>
      <c r="F5" s="6" t="s">
        <v>52</v>
      </c>
    </row>
    <row r="6" customFormat="false" ht="15" hidden="false" customHeight="false" outlineLevel="0" collapsed="false">
      <c r="A6" s="16" t="s">
        <v>53</v>
      </c>
      <c r="B6" s="18" t="n">
        <f aca="false">'1. Cash Flows'!C17</f>
        <v>410</v>
      </c>
      <c r="C6" s="18" t="n">
        <f aca="false">'1. Cash Flows'!B17</f>
        <v>270</v>
      </c>
      <c r="D6" s="19" t="n">
        <f aca="false">IFERROR(B6/C6,"")</f>
        <v>1.51851851851852</v>
      </c>
      <c r="E6" s="20" t="n">
        <v>1.519</v>
      </c>
      <c r="F6" s="21" t="n">
        <f aca="false">IFERROR(ROUND(D6-E6,3),"")</f>
        <v>-0</v>
      </c>
    </row>
    <row r="7" customFormat="false" ht="15" hidden="false" customHeight="false" outlineLevel="0" collapsed="false">
      <c r="A7" s="16" t="s">
        <v>54</v>
      </c>
      <c r="B7" s="18" t="n">
        <f aca="false">'1. Cash Flows'!D20</f>
        <v>85</v>
      </c>
      <c r="C7" s="18" t="n">
        <f aca="false">'1. Cash Flows'!B17</f>
        <v>270</v>
      </c>
      <c r="D7" s="19" t="n">
        <f aca="false">IFERROR(B7/C7,"")</f>
        <v>0.314814814814815</v>
      </c>
      <c r="E7" s="20" t="n">
        <v>0.315</v>
      </c>
      <c r="F7" s="21" t="n">
        <f aca="false">IFERROR(ROUND(D7-E7,3),"")</f>
        <v>-0</v>
      </c>
    </row>
    <row r="8" customFormat="false" ht="15" hidden="false" customHeight="false" outlineLevel="0" collapsed="false">
      <c r="A8" s="16" t="s">
        <v>55</v>
      </c>
      <c r="B8" s="18" t="n">
        <f aca="false">'1. Cash Flows'!D21</f>
        <v>495</v>
      </c>
      <c r="C8" s="18" t="n">
        <f aca="false">'1. Cash Flows'!B17</f>
        <v>270</v>
      </c>
      <c r="D8" s="19" t="n">
        <f aca="false">IFERROR(B8/C8,"")</f>
        <v>1.83333333333333</v>
      </c>
      <c r="E8" s="20" t="n">
        <v>1.833</v>
      </c>
      <c r="F8" s="21" t="n">
        <f aca="false">IFERROR(ROUND(D8-E8,3),"")</f>
        <v>0</v>
      </c>
    </row>
    <row r="9" customFormat="false" ht="15" hidden="false" customHeight="false" outlineLevel="0" collapsed="false">
      <c r="A9" s="16" t="s">
        <v>56</v>
      </c>
      <c r="B9" s="22" t="n">
        <f aca="false">D6</f>
        <v>1.51851851851852</v>
      </c>
      <c r="C9" s="22" t="n">
        <f aca="false">D8</f>
        <v>1.83333333333333</v>
      </c>
      <c r="D9" s="23" t="n">
        <f aca="false">IFERROR(B9/C9,"")</f>
        <v>0.828282828282828</v>
      </c>
      <c r="E9" s="24" t="n">
        <v>0.83</v>
      </c>
      <c r="F9" s="25" t="n">
        <f aca="false">IFERROR(ROUND(D9-E9,4),"")</f>
        <v>-0.0017</v>
      </c>
    </row>
    <row r="11" customFormat="false" ht="15" hidden="false" customHeight="true" outlineLevel="0" collapsed="false">
      <c r="A11" s="26" t="s">
        <v>57</v>
      </c>
      <c r="B11" s="26"/>
      <c r="C11" s="26"/>
      <c r="D11" s="26"/>
      <c r="E11" s="26"/>
      <c r="F11" s="26"/>
    </row>
    <row r="12" customFormat="false" ht="15" hidden="false" customHeight="false" outlineLevel="0" collapsed="false">
      <c r="A12" s="26"/>
      <c r="B12" s="26"/>
      <c r="C12" s="26"/>
      <c r="D12" s="26"/>
      <c r="E12" s="26"/>
      <c r="F12" s="26"/>
    </row>
    <row r="13" customFormat="false" ht="15" hidden="false" customHeight="false" outlineLevel="0" collapsed="false">
      <c r="A13" s="26"/>
      <c r="B13" s="26"/>
      <c r="C13" s="26"/>
      <c r="D13" s="26"/>
      <c r="E13" s="26"/>
      <c r="F13" s="26"/>
    </row>
    <row r="15" customFormat="false" ht="15" hidden="false" customHeight="false" outlineLevel="0" collapsed="false">
      <c r="A15" s="12" t="s">
        <v>58</v>
      </c>
    </row>
    <row r="16" customFormat="false" ht="15" hidden="false" customHeight="false" outlineLevel="0" collapsed="false">
      <c r="A16" s="13" t="s">
        <v>59</v>
      </c>
      <c r="D16" s="27" t="n">
        <f aca="false">IFERROR(1-D9,"")</f>
        <v>0.171717171717172</v>
      </c>
    </row>
    <row r="17" customFormat="false" ht="15" hidden="false" customHeight="false" outlineLevel="0" collapsed="false">
      <c r="A17" s="13" t="s">
        <v>60</v>
      </c>
      <c r="D17" s="15" t="n">
        <f aca="false">-0.25*'1. Cash Flows'!D20</f>
        <v>-21.25</v>
      </c>
    </row>
    <row r="18" customFormat="false" ht="15" hidden="false" customHeight="false" outlineLevel="0" collapsed="false">
      <c r="A18" s="13" t="s">
        <v>61</v>
      </c>
      <c r="D18" s="28" t="n">
        <f aca="false">IFERROR(('1. Cash Flows'!C17+'1. Cash Flows'!D20*0.75)/'1. Cash Flows'!B17,"")</f>
        <v>1.75462962962963</v>
      </c>
    </row>
    <row r="19" customFormat="false" ht="15" hidden="false" customHeight="false" outlineLevel="0" collapsed="false">
      <c r="A19" s="5" t="s">
        <v>62</v>
      </c>
    </row>
  </sheetData>
  <mergeCells count="1">
    <mergeCell ref="A11:F1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5" min="2" style="0" width="16"/>
    <col collapsed="false" customWidth="true" hidden="false" outlineLevel="0" max="6" min="6" style="0" width="30"/>
  </cols>
  <sheetData>
    <row r="1" customFormat="false" ht="17.35" hidden="false" customHeight="false" outlineLevel="0" collapsed="false">
      <c r="A1" s="1" t="s">
        <v>63</v>
      </c>
    </row>
    <row r="2" customFormat="false" ht="15" hidden="false" customHeight="false" outlineLevel="0" collapsed="false">
      <c r="A2" s="2" t="s">
        <v>64</v>
      </c>
    </row>
    <row r="5" customFormat="false" ht="23.85" hidden="false" customHeight="false" outlineLevel="0" collapsed="false">
      <c r="A5" s="6" t="s">
        <v>23</v>
      </c>
      <c r="B5" s="6" t="s">
        <v>65</v>
      </c>
      <c r="C5" s="6" t="s">
        <v>66</v>
      </c>
    </row>
    <row r="6" customFormat="false" ht="15" hidden="false" customHeight="false" outlineLevel="0" collapsed="false">
      <c r="A6" s="7" t="n">
        <f aca="false">'1. Cash Flows'!A7</f>
        <v>0</v>
      </c>
      <c r="B6" s="18" t="n">
        <f aca="false">'1. Cash Flows'!D7</f>
        <v>-60</v>
      </c>
      <c r="C6" s="18" t="n">
        <f aca="false">'1. Cash Flows'!C27</f>
        <v>-60</v>
      </c>
    </row>
    <row r="7" customFormat="false" ht="15" hidden="false" customHeight="false" outlineLevel="0" collapsed="false">
      <c r="A7" s="7" t="n">
        <f aca="false">'1. Cash Flows'!A8</f>
        <v>1</v>
      </c>
      <c r="B7" s="18" t="n">
        <f aca="false">'1. Cash Flows'!D8</f>
        <v>-75</v>
      </c>
      <c r="C7" s="18" t="n">
        <f aca="false">'1. Cash Flows'!C28</f>
        <v>-75</v>
      </c>
    </row>
    <row r="8" customFormat="false" ht="15" hidden="false" customHeight="false" outlineLevel="0" collapsed="false">
      <c r="A8" s="7" t="n">
        <f aca="false">'1. Cash Flows'!A9</f>
        <v>2</v>
      </c>
      <c r="B8" s="18" t="n">
        <f aca="false">'1. Cash Flows'!D9</f>
        <v>-60</v>
      </c>
      <c r="C8" s="18" t="n">
        <f aca="false">'1. Cash Flows'!C29</f>
        <v>-60</v>
      </c>
    </row>
    <row r="9" customFormat="false" ht="15" hidden="false" customHeight="false" outlineLevel="0" collapsed="false">
      <c r="A9" s="7" t="n">
        <f aca="false">'1. Cash Flows'!A10</f>
        <v>3</v>
      </c>
      <c r="B9" s="18" t="n">
        <f aca="false">'1. Cash Flows'!D10</f>
        <v>-45</v>
      </c>
      <c r="C9" s="18" t="n">
        <f aca="false">'1. Cash Flows'!C30</f>
        <v>-45</v>
      </c>
    </row>
    <row r="10" customFormat="false" ht="15" hidden="false" customHeight="false" outlineLevel="0" collapsed="false">
      <c r="A10" s="7" t="n">
        <f aca="false">'1. Cash Flows'!A11</f>
        <v>4</v>
      </c>
      <c r="B10" s="18" t="n">
        <f aca="false">'1. Cash Flows'!D11</f>
        <v>-30</v>
      </c>
      <c r="C10" s="18" t="n">
        <f aca="false">'1. Cash Flows'!C31</f>
        <v>-30</v>
      </c>
    </row>
    <row r="11" customFormat="false" ht="15" hidden="false" customHeight="false" outlineLevel="0" collapsed="false">
      <c r="A11" s="7" t="n">
        <f aca="false">'1. Cash Flows'!A12</f>
        <v>5</v>
      </c>
      <c r="B11" s="18" t="n">
        <f aca="false">'1. Cash Flows'!D12</f>
        <v>40</v>
      </c>
      <c r="C11" s="18" t="n">
        <f aca="false">'1. Cash Flows'!C32</f>
        <v>40</v>
      </c>
    </row>
    <row r="12" customFormat="false" ht="15" hidden="false" customHeight="false" outlineLevel="0" collapsed="false">
      <c r="A12" s="7" t="n">
        <f aca="false">'1. Cash Flows'!A13</f>
        <v>6</v>
      </c>
      <c r="B12" s="18" t="n">
        <f aca="false">'1. Cash Flows'!D13</f>
        <v>90</v>
      </c>
      <c r="C12" s="18" t="n">
        <f aca="false">'1. Cash Flows'!C33</f>
        <v>90</v>
      </c>
    </row>
    <row r="13" customFormat="false" ht="15" hidden="false" customHeight="false" outlineLevel="0" collapsed="false">
      <c r="A13" s="7" t="n">
        <f aca="false">'1. Cash Flows'!A14</f>
        <v>7</v>
      </c>
      <c r="B13" s="18" t="n">
        <f aca="false">'1. Cash Flows'!D14</f>
        <v>120</v>
      </c>
      <c r="C13" s="18" t="n">
        <f aca="false">'1. Cash Flows'!C34</f>
        <v>120</v>
      </c>
    </row>
    <row r="14" customFormat="false" ht="15" hidden="false" customHeight="false" outlineLevel="0" collapsed="false">
      <c r="A14" s="7" t="n">
        <f aca="false">'1. Cash Flows'!A15</f>
        <v>8</v>
      </c>
      <c r="B14" s="18" t="n">
        <f aca="false">'1. Cash Flows'!D15</f>
        <v>100</v>
      </c>
      <c r="C14" s="18" t="n">
        <f aca="false">'1. Cash Flows'!C35</f>
        <v>100</v>
      </c>
    </row>
    <row r="15" customFormat="false" ht="15" hidden="false" customHeight="false" outlineLevel="0" collapsed="false">
      <c r="A15" s="7" t="n">
        <f aca="false">'1. Cash Flows'!A16</f>
        <v>9</v>
      </c>
      <c r="B15" s="18" t="n">
        <f aca="false">'1. Cash Flows'!D16</f>
        <v>60</v>
      </c>
      <c r="C15" s="18" t="n">
        <f aca="false">'1. Cash Flows'!C36</f>
        <v>145</v>
      </c>
    </row>
    <row r="17" customFormat="false" ht="15" hidden="false" customHeight="false" outlineLevel="0" collapsed="false">
      <c r="A17" s="12" t="s">
        <v>67</v>
      </c>
    </row>
    <row r="18" customFormat="false" ht="15" hidden="false" customHeight="false" outlineLevel="0" collapsed="false">
      <c r="A18" s="6" t="s">
        <v>47</v>
      </c>
      <c r="B18" s="6" t="s">
        <v>50</v>
      </c>
      <c r="C18" s="6" t="s">
        <v>51</v>
      </c>
      <c r="D18" s="6" t="s">
        <v>52</v>
      </c>
    </row>
    <row r="19" customFormat="false" ht="15" hidden="false" customHeight="false" outlineLevel="0" collapsed="false">
      <c r="A19" s="16" t="s">
        <v>68</v>
      </c>
      <c r="B19" s="29" t="n">
        <f aca="false">IFERROR(IRR(C6:C15),"")</f>
        <v>0.110672241691284</v>
      </c>
      <c r="C19" s="30" t="n">
        <v>0.1107</v>
      </c>
      <c r="D19" s="31" t="n">
        <f aca="false">IFERROR(ROUND((B19-C19)*10000,0),"")</f>
        <v>-0</v>
      </c>
    </row>
    <row r="20" customFormat="false" ht="15" hidden="false" customHeight="false" outlineLevel="0" collapsed="false">
      <c r="A20" s="16" t="s">
        <v>69</v>
      </c>
      <c r="B20" s="29" t="n">
        <f aca="false">IFERROR(IRR(B6:B15),"")</f>
        <v>0.079454462819545</v>
      </c>
      <c r="C20" s="30" t="n">
        <v>0.0795</v>
      </c>
      <c r="D20" s="31" t="n">
        <f aca="false">IFERROR(ROUND((B20-C20)*10000,0),"")</f>
        <v>-0</v>
      </c>
    </row>
    <row r="21" customFormat="false" ht="15" hidden="false" customHeight="false" outlineLevel="0" collapsed="false">
      <c r="A21" s="16" t="s">
        <v>70</v>
      </c>
      <c r="B21" s="32" t="n">
        <f aca="false">IFERROR(ROUND((B19-B20)*10000,0),"")</f>
        <v>312</v>
      </c>
      <c r="C21" s="33" t="n">
        <v>312</v>
      </c>
      <c r="D21" s="31" t="n">
        <f aca="false">IFERROR(B21-C21,"")</f>
        <v>0</v>
      </c>
    </row>
    <row r="23" customFormat="false" ht="15" hidden="false" customHeight="true" outlineLevel="0" collapsed="false">
      <c r="A23" s="26" t="s">
        <v>71</v>
      </c>
      <c r="B23" s="26"/>
      <c r="C23" s="26"/>
      <c r="D23" s="26"/>
      <c r="E23" s="26"/>
      <c r="F23" s="26"/>
    </row>
    <row r="24" customFormat="false" ht="15" hidden="false" customHeight="false" outlineLevel="0" collapsed="false">
      <c r="A24" s="26"/>
      <c r="B24" s="26"/>
      <c r="C24" s="26"/>
      <c r="D24" s="26"/>
      <c r="E24" s="26"/>
      <c r="F24" s="26"/>
    </row>
    <row r="26" customFormat="false" ht="15" hidden="false" customHeight="false" outlineLevel="0" collapsed="false">
      <c r="A26" s="12" t="s">
        <v>72</v>
      </c>
    </row>
    <row r="27" customFormat="false" ht="15" hidden="false" customHeight="false" outlineLevel="0" collapsed="false">
      <c r="A27" s="13" t="s">
        <v>73</v>
      </c>
      <c r="B27" s="34" t="n">
        <f aca="false">SUMPRODUCT(--(SIGN(C6:C14)&lt;&gt;SIGN(C7:C15)))</f>
        <v>1</v>
      </c>
    </row>
    <row r="28" customFormat="false" ht="15" hidden="false" customHeight="false" outlineLevel="0" collapsed="false">
      <c r="A28" s="5" t="s">
        <v>74</v>
      </c>
      <c r="B28" s="10" t="str">
        <f aca="false">IF(B27&lt;=1,"Single solution — safe","CAUTION: multiple solutions possible")</f>
        <v>Single solution — safe</v>
      </c>
    </row>
  </sheetData>
  <mergeCells count="1">
    <mergeCell ref="A23:F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4"/>
    <col collapsed="false" customWidth="true" hidden="false" outlineLevel="0" max="6" min="2" style="0" width="14"/>
    <col collapsed="false" customWidth="true" hidden="false" outlineLevel="0" max="7" min="7" style="0" width="34"/>
  </cols>
  <sheetData>
    <row r="1" customFormat="false" ht="17.35" hidden="false" customHeight="false" outlineLevel="0" collapsed="false">
      <c r="A1" s="1" t="s">
        <v>75</v>
      </c>
    </row>
    <row r="2" customFormat="false" ht="15" hidden="false" customHeight="false" outlineLevel="0" collapsed="false">
      <c r="A2" s="2" t="s">
        <v>76</v>
      </c>
    </row>
    <row r="4" customFormat="false" ht="15" hidden="false" customHeight="false" outlineLevel="0" collapsed="false">
      <c r="A4" s="12" t="s">
        <v>77</v>
      </c>
    </row>
    <row r="5" customFormat="false" ht="15" hidden="false" customHeight="false" outlineLevel="0" collapsed="false">
      <c r="A5" s="13" t="s">
        <v>78</v>
      </c>
      <c r="B5" s="35" t="n">
        <v>1</v>
      </c>
    </row>
    <row r="6" customFormat="false" ht="15" hidden="false" customHeight="false" outlineLevel="0" collapsed="false">
      <c r="A6" s="13" t="s">
        <v>79</v>
      </c>
      <c r="B6" s="36" t="n">
        <v>0.045</v>
      </c>
    </row>
    <row r="7" customFormat="false" ht="15" hidden="false" customHeight="false" outlineLevel="0" collapsed="false">
      <c r="A7" s="5" t="s">
        <v>80</v>
      </c>
    </row>
    <row r="9" customFormat="false" ht="15" hidden="false" customHeight="false" outlineLevel="0" collapsed="false">
      <c r="A9" s="12" t="s">
        <v>81</v>
      </c>
    </row>
    <row r="10" customFormat="false" ht="23.85" hidden="false" customHeight="false" outlineLevel="0" collapsed="false">
      <c r="A10" s="6" t="s">
        <v>23</v>
      </c>
      <c r="B10" s="6" t="s">
        <v>82</v>
      </c>
      <c r="C10" s="6" t="s">
        <v>83</v>
      </c>
      <c r="D10" s="6" t="s">
        <v>84</v>
      </c>
      <c r="E10" s="6" t="s">
        <v>85</v>
      </c>
      <c r="F10" s="6" t="s">
        <v>86</v>
      </c>
    </row>
    <row r="11" customFormat="false" ht="15" hidden="false" customHeight="false" outlineLevel="0" collapsed="false">
      <c r="A11" s="7" t="n">
        <v>0</v>
      </c>
      <c r="B11" s="18" t="n">
        <f aca="false">'1. Cash Flows'!D7</f>
        <v>-60</v>
      </c>
      <c r="C11" s="7" t="n">
        <f aca="false">A11</f>
        <v>0</v>
      </c>
      <c r="D11" s="9" t="n">
        <v>0</v>
      </c>
      <c r="E11" s="18" t="n">
        <f aca="false">'1. Cash Flows'!C7</f>
        <v>0</v>
      </c>
      <c r="F11" s="9" t="n">
        <f aca="false">E11-D11</f>
        <v>0</v>
      </c>
    </row>
    <row r="12" customFormat="false" ht="15" hidden="false" customHeight="false" outlineLevel="0" collapsed="false">
      <c r="A12" s="7" t="n">
        <v>1</v>
      </c>
      <c r="B12" s="18" t="n">
        <f aca="false">'1. Cash Flows'!D8</f>
        <v>-75</v>
      </c>
      <c r="C12" s="7" t="n">
        <f aca="false">A12</f>
        <v>1</v>
      </c>
      <c r="D12" s="9" t="n">
        <f aca="false">IFERROR('1. Cash Flows'!B7*(1+$B$6*$B$5),0)</f>
        <v>62.7</v>
      </c>
      <c r="E12" s="18" t="n">
        <f aca="false">'1. Cash Flows'!C8</f>
        <v>0</v>
      </c>
      <c r="F12" s="9" t="n">
        <f aca="false">E12-D12</f>
        <v>-62.7</v>
      </c>
    </row>
    <row r="13" customFormat="false" ht="15" hidden="false" customHeight="false" outlineLevel="0" collapsed="false">
      <c r="A13" s="7" t="n">
        <v>2</v>
      </c>
      <c r="B13" s="18" t="n">
        <f aca="false">'1. Cash Flows'!D9</f>
        <v>-60</v>
      </c>
      <c r="C13" s="7" t="n">
        <f aca="false">A13</f>
        <v>2</v>
      </c>
      <c r="D13" s="9" t="n">
        <f aca="false">IFERROR('1. Cash Flows'!B8*(1+$B$6*$B$5),0)</f>
        <v>78.375</v>
      </c>
      <c r="E13" s="18" t="n">
        <f aca="false">'1. Cash Flows'!C9</f>
        <v>0</v>
      </c>
      <c r="F13" s="9" t="n">
        <f aca="false">E13-D13</f>
        <v>-78.375</v>
      </c>
    </row>
    <row r="14" customFormat="false" ht="15" hidden="false" customHeight="false" outlineLevel="0" collapsed="false">
      <c r="A14" s="7" t="n">
        <v>3</v>
      </c>
      <c r="B14" s="18" t="n">
        <f aca="false">'1. Cash Flows'!D10</f>
        <v>-45</v>
      </c>
      <c r="C14" s="7" t="n">
        <f aca="false">A14</f>
        <v>3</v>
      </c>
      <c r="D14" s="9" t="n">
        <f aca="false">IFERROR('1. Cash Flows'!B9*(1+$B$6*$B$5),0)</f>
        <v>62.7</v>
      </c>
      <c r="E14" s="18" t="n">
        <f aca="false">'1. Cash Flows'!C10</f>
        <v>0</v>
      </c>
      <c r="F14" s="9" t="n">
        <f aca="false">E14-D14</f>
        <v>-62.7</v>
      </c>
    </row>
    <row r="15" customFormat="false" ht="15" hidden="false" customHeight="false" outlineLevel="0" collapsed="false">
      <c r="A15" s="7" t="n">
        <v>4</v>
      </c>
      <c r="B15" s="18" t="n">
        <f aca="false">'1. Cash Flows'!D11</f>
        <v>-30</v>
      </c>
      <c r="C15" s="7" t="n">
        <f aca="false">A15</f>
        <v>4</v>
      </c>
      <c r="D15" s="9" t="n">
        <f aca="false">IFERROR('1. Cash Flows'!B10*(1+$B$6*$B$5),0)</f>
        <v>47.025</v>
      </c>
      <c r="E15" s="18" t="n">
        <f aca="false">'1. Cash Flows'!C11</f>
        <v>0</v>
      </c>
      <c r="F15" s="9" t="n">
        <f aca="false">E15-D15</f>
        <v>-47.025</v>
      </c>
    </row>
    <row r="16" customFormat="false" ht="15" hidden="false" customHeight="false" outlineLevel="0" collapsed="false">
      <c r="A16" s="7" t="n">
        <v>5</v>
      </c>
      <c r="B16" s="18" t="n">
        <f aca="false">'1. Cash Flows'!D12</f>
        <v>40</v>
      </c>
      <c r="C16" s="7" t="n">
        <f aca="false">A16</f>
        <v>5</v>
      </c>
      <c r="D16" s="9" t="n">
        <f aca="false">IFERROR('1. Cash Flows'!B11*(1+$B$6*$B$5),0)</f>
        <v>31.35</v>
      </c>
      <c r="E16" s="18" t="n">
        <f aca="false">'1. Cash Flows'!C12</f>
        <v>40</v>
      </c>
      <c r="F16" s="9" t="n">
        <f aca="false">E16-D16</f>
        <v>8.65</v>
      </c>
    </row>
    <row r="17" customFormat="false" ht="15" hidden="false" customHeight="false" outlineLevel="0" collapsed="false">
      <c r="A17" s="7" t="n">
        <v>6</v>
      </c>
      <c r="B17" s="18" t="n">
        <f aca="false">'1. Cash Flows'!D13</f>
        <v>90</v>
      </c>
      <c r="C17" s="7" t="n">
        <f aca="false">A17</f>
        <v>6</v>
      </c>
      <c r="D17" s="9" t="n">
        <f aca="false">IFERROR('1. Cash Flows'!B12*(1+$B$6*$B$5),0)</f>
        <v>0</v>
      </c>
      <c r="E17" s="18" t="n">
        <f aca="false">'1. Cash Flows'!C13</f>
        <v>90</v>
      </c>
      <c r="F17" s="9" t="n">
        <f aca="false">E17-D17</f>
        <v>90</v>
      </c>
    </row>
    <row r="18" customFormat="false" ht="15" hidden="false" customHeight="false" outlineLevel="0" collapsed="false">
      <c r="A18" s="7" t="n">
        <v>7</v>
      </c>
      <c r="B18" s="18" t="n">
        <f aca="false">'1. Cash Flows'!D14</f>
        <v>120</v>
      </c>
      <c r="C18" s="7" t="n">
        <f aca="false">A18</f>
        <v>7</v>
      </c>
      <c r="D18" s="9" t="n">
        <f aca="false">IFERROR('1. Cash Flows'!B13*(1+$B$6*$B$5),0)</f>
        <v>0</v>
      </c>
      <c r="E18" s="18" t="n">
        <f aca="false">'1. Cash Flows'!C14</f>
        <v>120</v>
      </c>
      <c r="F18" s="9" t="n">
        <f aca="false">E18-D18</f>
        <v>120</v>
      </c>
    </row>
    <row r="19" customFormat="false" ht="15" hidden="false" customHeight="false" outlineLevel="0" collapsed="false">
      <c r="A19" s="7" t="n">
        <v>8</v>
      </c>
      <c r="B19" s="18" t="n">
        <f aca="false">'1. Cash Flows'!D15</f>
        <v>100</v>
      </c>
      <c r="C19" s="7" t="n">
        <f aca="false">A19</f>
        <v>8</v>
      </c>
      <c r="D19" s="9" t="n">
        <f aca="false">IFERROR('1. Cash Flows'!B14*(1+$B$6*$B$5),0)</f>
        <v>0</v>
      </c>
      <c r="E19" s="18" t="n">
        <f aca="false">'1. Cash Flows'!C15</f>
        <v>100</v>
      </c>
      <c r="F19" s="9" t="n">
        <f aca="false">E19-D19</f>
        <v>100</v>
      </c>
    </row>
    <row r="20" customFormat="false" ht="15" hidden="false" customHeight="false" outlineLevel="0" collapsed="false">
      <c r="A20" s="7" t="n">
        <v>9</v>
      </c>
      <c r="B20" s="18" t="n">
        <f aca="false">'1. Cash Flows'!D16</f>
        <v>60</v>
      </c>
      <c r="C20" s="7" t="n">
        <f aca="false">A20</f>
        <v>9</v>
      </c>
      <c r="D20" s="9" t="n">
        <f aca="false">IFERROR('1. Cash Flows'!B15*(1+$B$6*$B$5),0)</f>
        <v>0</v>
      </c>
      <c r="E20" s="18" t="n">
        <f aca="false">'1. Cash Flows'!C16</f>
        <v>60</v>
      </c>
      <c r="F20" s="9" t="n">
        <f aca="false">E20-D20+'1. Cash Flows'!$D$20</f>
        <v>145</v>
      </c>
    </row>
    <row r="21" customFormat="false" ht="15" hidden="false" customHeight="false" outlineLevel="0" collapsed="false">
      <c r="A21" s="7" t="n">
        <v>10</v>
      </c>
      <c r="B21" s="9" t="n">
        <v>0</v>
      </c>
      <c r="C21" s="7" t="n">
        <f aca="false">A21</f>
        <v>10</v>
      </c>
      <c r="D21" s="9" t="n">
        <f aca="false">IFERROR('1. Cash Flows'!B16*(1+$B$6*$B$5),0)</f>
        <v>0</v>
      </c>
      <c r="E21" s="9" t="n">
        <v>0</v>
      </c>
      <c r="F21" s="9" t="n">
        <f aca="false">E21-D21</f>
        <v>0</v>
      </c>
    </row>
    <row r="22" customFormat="false" ht="15" hidden="false" customHeight="false" outlineLevel="0" collapsed="false">
      <c r="A22" s="10" t="s">
        <v>28</v>
      </c>
      <c r="D22" s="11" t="n">
        <f aca="false">SUM(D11:D21)</f>
        <v>282.15</v>
      </c>
      <c r="E22" s="11" t="n">
        <f aca="false">SUM(E11:E21)</f>
        <v>410</v>
      </c>
      <c r="F22" s="11" t="n">
        <f aca="false">SUM(F11:F21)</f>
        <v>212.85</v>
      </c>
    </row>
    <row r="24" customFormat="false" ht="15" hidden="false" customHeight="false" outlineLevel="0" collapsed="false">
      <c r="A24" s="12" t="s">
        <v>87</v>
      </c>
    </row>
    <row r="25" customFormat="false" ht="23.85" hidden="false" customHeight="false" outlineLevel="0" collapsed="false">
      <c r="A25" s="6" t="s">
        <v>47</v>
      </c>
      <c r="B25" s="6" t="s">
        <v>88</v>
      </c>
      <c r="C25" s="6" t="s">
        <v>89</v>
      </c>
      <c r="D25" s="6" t="s">
        <v>90</v>
      </c>
      <c r="E25" s="6" t="s">
        <v>91</v>
      </c>
      <c r="F25" s="6" t="s">
        <v>92</v>
      </c>
    </row>
    <row r="26" customFormat="false" ht="15" hidden="false" customHeight="false" outlineLevel="0" collapsed="false">
      <c r="A26" s="16" t="s">
        <v>93</v>
      </c>
      <c r="B26" s="37" t="n">
        <f aca="false">'3. IRR'!B19</f>
        <v>0.110672241691284</v>
      </c>
      <c r="C26" s="29" t="n">
        <f aca="false">IFERROR(IRR(F11:F21),"")</f>
        <v>0.124960530016742</v>
      </c>
      <c r="D26" s="31" t="n">
        <f aca="false">IFERROR(ROUND((C26-B26)*10000,0),"")</f>
        <v>143</v>
      </c>
      <c r="E26" s="30" t="n">
        <v>0.1107</v>
      </c>
      <c r="F26" s="30" t="n">
        <v>0.1237</v>
      </c>
    </row>
    <row r="27" customFormat="false" ht="15" hidden="false" customHeight="false" outlineLevel="0" collapsed="false">
      <c r="A27" s="16" t="s">
        <v>94</v>
      </c>
      <c r="B27" s="38" t="n">
        <f aca="false">'2. Multiples'!D8</f>
        <v>1.83333333333333</v>
      </c>
      <c r="C27" s="19" t="n">
        <f aca="false">IFERROR('1. Cash Flows'!D21/D22,"")</f>
        <v>1.75438596491228</v>
      </c>
      <c r="D27" s="21" t="n">
        <f aca="false">IFERROR(ROUND(C27-B27,3),"")</f>
        <v>-0.079</v>
      </c>
      <c r="E27" s="20" t="n">
        <v>1.833</v>
      </c>
      <c r="F27" s="20" t="n">
        <v>1.788</v>
      </c>
    </row>
    <row r="29" customFormat="false" ht="15" hidden="false" customHeight="false" outlineLevel="0" collapsed="false">
      <c r="A29" s="39" t="s">
        <v>95</v>
      </c>
    </row>
    <row r="30" customFormat="false" ht="15" hidden="false" customHeight="true" outlineLevel="0" collapsed="false">
      <c r="A30" s="40" t="s">
        <v>96</v>
      </c>
      <c r="B30" s="40"/>
      <c r="C30" s="40"/>
      <c r="D30" s="40"/>
      <c r="E30" s="40"/>
      <c r="F30" s="40"/>
      <c r="G30" s="40"/>
    </row>
    <row r="31" customFormat="false" ht="15" hidden="false" customHeight="false" outlineLevel="0" collapsed="false">
      <c r="A31" s="40"/>
      <c r="B31" s="40"/>
      <c r="C31" s="40"/>
      <c r="D31" s="40"/>
      <c r="E31" s="40"/>
      <c r="F31" s="40"/>
      <c r="G31" s="40"/>
    </row>
    <row r="32" customFormat="false" ht="15" hidden="false" customHeight="false" outlineLevel="0" collapsed="false">
      <c r="A32" s="40"/>
      <c r="B32" s="40"/>
      <c r="C32" s="40"/>
      <c r="D32" s="40"/>
      <c r="E32" s="40"/>
      <c r="F32" s="40"/>
      <c r="G32" s="40"/>
    </row>
    <row r="33" customFormat="false" ht="15" hidden="false" customHeight="false" outlineLevel="0" collapsed="false">
      <c r="A33" s="40"/>
      <c r="B33" s="40"/>
      <c r="C33" s="40"/>
      <c r="D33" s="40"/>
      <c r="E33" s="40"/>
      <c r="F33" s="40"/>
      <c r="G33" s="40"/>
    </row>
    <row r="34" customFormat="false" ht="15" hidden="false" customHeight="false" outlineLevel="0" collapsed="false">
      <c r="A34" s="40"/>
      <c r="B34" s="40"/>
      <c r="C34" s="40"/>
      <c r="D34" s="40"/>
      <c r="E34" s="40"/>
      <c r="F34" s="40"/>
      <c r="G34" s="40"/>
    </row>
    <row r="35" customFormat="false" ht="15" hidden="false" customHeight="false" outlineLevel="0" collapsed="false">
      <c r="A35" s="40"/>
      <c r="B35" s="40"/>
      <c r="C35" s="40"/>
      <c r="D35" s="40"/>
      <c r="E35" s="40"/>
      <c r="F35" s="40"/>
      <c r="G35" s="40"/>
    </row>
    <row r="36" customFormat="false" ht="15" hidden="false" customHeight="false" outlineLevel="0" collapsed="false">
      <c r="A36" s="40"/>
      <c r="B36" s="40"/>
      <c r="C36" s="40"/>
      <c r="D36" s="40"/>
      <c r="E36" s="40"/>
      <c r="F36" s="40"/>
      <c r="G36" s="40"/>
    </row>
    <row r="38" customFormat="false" ht="15" hidden="false" customHeight="false" outlineLevel="0" collapsed="false">
      <c r="A38" s="5" t="s">
        <v>97</v>
      </c>
    </row>
  </sheetData>
  <mergeCells count="1">
    <mergeCell ref="A30:G3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8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4" min="2" style="0" width="14"/>
    <col collapsed="false" customWidth="true" hidden="false" outlineLevel="0" max="9" min="5" style="0" width="16"/>
  </cols>
  <sheetData>
    <row r="1" customFormat="false" ht="17.35" hidden="false" customHeight="false" outlineLevel="0" collapsed="false">
      <c r="A1" s="1" t="s">
        <v>98</v>
      </c>
    </row>
    <row r="2" customFormat="false" ht="15" hidden="false" customHeight="false" outlineLevel="0" collapsed="false">
      <c r="A2" s="2" t="s">
        <v>99</v>
      </c>
    </row>
    <row r="4" customFormat="false" ht="15" hidden="false" customHeight="false" outlineLevel="0" collapsed="false">
      <c r="A4" s="5" t="s">
        <v>100</v>
      </c>
    </row>
    <row r="6" customFormat="false" ht="15" hidden="false" customHeight="false" outlineLevel="0" collapsed="false">
      <c r="A6" s="12" t="s">
        <v>101</v>
      </c>
    </row>
    <row r="7" customFormat="false" ht="23.85" hidden="false" customHeight="false" outlineLevel="0" collapsed="false">
      <c r="A7" s="6" t="s">
        <v>23</v>
      </c>
      <c r="B7" s="6" t="s">
        <v>102</v>
      </c>
      <c r="C7" s="6" t="s">
        <v>103</v>
      </c>
      <c r="D7" s="6" t="s">
        <v>104</v>
      </c>
      <c r="E7" s="6" t="s">
        <v>24</v>
      </c>
      <c r="F7" s="6" t="s">
        <v>25</v>
      </c>
      <c r="G7" s="6" t="s">
        <v>105</v>
      </c>
      <c r="H7" s="6" t="s">
        <v>106</v>
      </c>
      <c r="I7" s="6" t="s">
        <v>107</v>
      </c>
    </row>
    <row r="8" customFormat="false" ht="15" hidden="false" customHeight="false" outlineLevel="0" collapsed="false">
      <c r="A8" s="7" t="n">
        <v>0</v>
      </c>
      <c r="B8" s="41"/>
      <c r="C8" s="42" t="n">
        <v>100</v>
      </c>
      <c r="D8" s="43" t="n">
        <f aca="false">IFERROR($C$17/C8,"")</f>
        <v>1.94410636851006</v>
      </c>
      <c r="E8" s="18" t="n">
        <f aca="false">'1. Cash Flows'!B7</f>
        <v>60</v>
      </c>
      <c r="F8" s="18" t="n">
        <f aca="false">'1. Cash Flows'!C7</f>
        <v>0</v>
      </c>
      <c r="G8" s="9" t="n">
        <f aca="false">IFERROR(E8*D8,"")</f>
        <v>116.646382110603</v>
      </c>
      <c r="H8" s="9" t="n">
        <f aca="false">IFERROR(F8*D8,"")</f>
        <v>0</v>
      </c>
      <c r="I8" s="9" t="n">
        <f aca="false">IFERROR('1. Cash Flows'!D7*D8,"")</f>
        <v>-116.646382110603</v>
      </c>
    </row>
    <row r="9" customFormat="false" ht="15" hidden="false" customHeight="false" outlineLevel="0" collapsed="false">
      <c r="A9" s="7" t="n">
        <v>1</v>
      </c>
      <c r="B9" s="24" t="n">
        <v>0.09</v>
      </c>
      <c r="C9" s="44" t="n">
        <f aca="false">C8*(1+B9)</f>
        <v>109</v>
      </c>
      <c r="D9" s="43" t="n">
        <f aca="false">IFERROR($C$17/C9,"")</f>
        <v>1.78358382432115</v>
      </c>
      <c r="E9" s="18" t="n">
        <f aca="false">'1. Cash Flows'!B8</f>
        <v>75</v>
      </c>
      <c r="F9" s="18" t="n">
        <f aca="false">'1. Cash Flows'!C8</f>
        <v>0</v>
      </c>
      <c r="G9" s="9" t="n">
        <f aca="false">IFERROR(E9*D9,"")</f>
        <v>133.768786824086</v>
      </c>
      <c r="H9" s="9" t="n">
        <f aca="false">IFERROR(F9*D9,"")</f>
        <v>0</v>
      </c>
      <c r="I9" s="9" t="n">
        <f aca="false">IFERROR('1. Cash Flows'!D8*D9,"")</f>
        <v>-133.768786824086</v>
      </c>
    </row>
    <row r="10" customFormat="false" ht="15" hidden="false" customHeight="false" outlineLevel="0" collapsed="false">
      <c r="A10" s="7" t="n">
        <v>2</v>
      </c>
      <c r="B10" s="24" t="n">
        <v>0.12</v>
      </c>
      <c r="C10" s="44" t="n">
        <f aca="false">C9*(1+B10)</f>
        <v>122.08</v>
      </c>
      <c r="D10" s="43" t="n">
        <f aca="false">IFERROR($C$17/C10,"")</f>
        <v>1.5924855574296</v>
      </c>
      <c r="E10" s="18" t="n">
        <f aca="false">'1. Cash Flows'!B9</f>
        <v>60</v>
      </c>
      <c r="F10" s="18" t="n">
        <f aca="false">'1. Cash Flows'!C9</f>
        <v>0</v>
      </c>
      <c r="G10" s="9" t="n">
        <f aca="false">IFERROR(E10*D10,"")</f>
        <v>95.549133445776</v>
      </c>
      <c r="H10" s="9" t="n">
        <f aca="false">IFERROR(F10*D10,"")</f>
        <v>0</v>
      </c>
      <c r="I10" s="9" t="n">
        <f aca="false">IFERROR('1. Cash Flows'!D9*D10,"")</f>
        <v>-95.549133445776</v>
      </c>
    </row>
    <row r="11" customFormat="false" ht="15" hidden="false" customHeight="false" outlineLevel="0" collapsed="false">
      <c r="A11" s="7" t="n">
        <v>3</v>
      </c>
      <c r="B11" s="24" t="n">
        <v>-0.05</v>
      </c>
      <c r="C11" s="44" t="n">
        <f aca="false">C10*(1+B11)</f>
        <v>115.976</v>
      </c>
      <c r="D11" s="43" t="n">
        <f aca="false">IFERROR($C$17/C11,"")</f>
        <v>1.676300586768</v>
      </c>
      <c r="E11" s="18" t="n">
        <f aca="false">'1. Cash Flows'!B10</f>
        <v>45</v>
      </c>
      <c r="F11" s="18" t="n">
        <f aca="false">'1. Cash Flows'!C10</f>
        <v>0</v>
      </c>
      <c r="G11" s="9" t="n">
        <f aca="false">IFERROR(E11*D11,"")</f>
        <v>75.43352640456</v>
      </c>
      <c r="H11" s="9" t="n">
        <f aca="false">IFERROR(F11*D11,"")</f>
        <v>0</v>
      </c>
      <c r="I11" s="9" t="n">
        <f aca="false">IFERROR('1. Cash Flows'!D10*D11,"")</f>
        <v>-75.43352640456</v>
      </c>
    </row>
    <row r="12" customFormat="false" ht="15" hidden="false" customHeight="false" outlineLevel="0" collapsed="false">
      <c r="A12" s="7" t="n">
        <v>4</v>
      </c>
      <c r="B12" s="24" t="n">
        <v>0.18</v>
      </c>
      <c r="C12" s="44" t="n">
        <f aca="false">C11*(1+B12)</f>
        <v>136.85168</v>
      </c>
      <c r="D12" s="43" t="n">
        <f aca="false">IFERROR($C$17/C12,"")</f>
        <v>1.4205937176</v>
      </c>
      <c r="E12" s="18" t="n">
        <f aca="false">'1. Cash Flows'!B11</f>
        <v>30</v>
      </c>
      <c r="F12" s="18" t="n">
        <f aca="false">'1. Cash Flows'!C11</f>
        <v>0</v>
      </c>
      <c r="G12" s="9" t="n">
        <f aca="false">IFERROR(E12*D12,"")</f>
        <v>42.617811528</v>
      </c>
      <c r="H12" s="9" t="n">
        <f aca="false">IFERROR(F12*D12,"")</f>
        <v>0</v>
      </c>
      <c r="I12" s="9" t="n">
        <f aca="false">IFERROR('1. Cash Flows'!D11*D12,"")</f>
        <v>-42.617811528</v>
      </c>
    </row>
    <row r="13" customFormat="false" ht="15" hidden="false" customHeight="false" outlineLevel="0" collapsed="false">
      <c r="A13" s="7" t="n">
        <v>5</v>
      </c>
      <c r="B13" s="24" t="n">
        <v>0.14</v>
      </c>
      <c r="C13" s="44" t="n">
        <f aca="false">C12*(1+B13)</f>
        <v>156.0109152</v>
      </c>
      <c r="D13" s="43" t="n">
        <f aca="false">IFERROR($C$17/C13,"")</f>
        <v>1.24613484</v>
      </c>
      <c r="E13" s="18" t="n">
        <f aca="false">'1. Cash Flows'!B12</f>
        <v>0</v>
      </c>
      <c r="F13" s="18" t="n">
        <f aca="false">'1. Cash Flows'!C12</f>
        <v>40</v>
      </c>
      <c r="G13" s="9" t="n">
        <f aca="false">IFERROR(E13*D13,"")</f>
        <v>0</v>
      </c>
      <c r="H13" s="9" t="n">
        <f aca="false">IFERROR(F13*D13,"")</f>
        <v>49.8453936</v>
      </c>
      <c r="I13" s="9" t="n">
        <f aca="false">IFERROR('1. Cash Flows'!D12*D13,"")</f>
        <v>49.8453936</v>
      </c>
    </row>
    <row r="14" customFormat="false" ht="15" hidden="false" customHeight="false" outlineLevel="0" collapsed="false">
      <c r="A14" s="7" t="n">
        <v>6</v>
      </c>
      <c r="B14" s="24" t="n">
        <v>-0.14</v>
      </c>
      <c r="C14" s="44" t="n">
        <f aca="false">C13*(1+B14)</f>
        <v>134.169387072</v>
      </c>
      <c r="D14" s="43" t="n">
        <f aca="false">IFERROR($C$17/C14,"")</f>
        <v>1.448994</v>
      </c>
      <c r="E14" s="18" t="n">
        <f aca="false">'1. Cash Flows'!B13</f>
        <v>0</v>
      </c>
      <c r="F14" s="18" t="n">
        <f aca="false">'1. Cash Flows'!C13</f>
        <v>90</v>
      </c>
      <c r="G14" s="9" t="n">
        <f aca="false">IFERROR(E14*D14,"")</f>
        <v>0</v>
      </c>
      <c r="H14" s="9" t="n">
        <f aca="false">IFERROR(F14*D14,"")</f>
        <v>130.40946</v>
      </c>
      <c r="I14" s="9" t="n">
        <f aca="false">IFERROR('1. Cash Flows'!D13*D14,"")</f>
        <v>130.40946</v>
      </c>
    </row>
    <row r="15" customFormat="false" ht="15" hidden="false" customHeight="false" outlineLevel="0" collapsed="false">
      <c r="A15" s="7" t="n">
        <v>7</v>
      </c>
      <c r="B15" s="24" t="n">
        <v>0.22</v>
      </c>
      <c r="C15" s="44" t="n">
        <f aca="false">C14*(1+B15)</f>
        <v>163.68665222784</v>
      </c>
      <c r="D15" s="43" t="n">
        <f aca="false">IFERROR($C$17/C15,"")</f>
        <v>1.1877</v>
      </c>
      <c r="E15" s="18" t="n">
        <f aca="false">'1. Cash Flows'!B14</f>
        <v>0</v>
      </c>
      <c r="F15" s="18" t="n">
        <f aca="false">'1. Cash Flows'!C14</f>
        <v>120</v>
      </c>
      <c r="G15" s="9" t="n">
        <f aca="false">IFERROR(E15*D15,"")</f>
        <v>0</v>
      </c>
      <c r="H15" s="9" t="n">
        <f aca="false">IFERROR(F15*D15,"")</f>
        <v>142.524</v>
      </c>
      <c r="I15" s="9" t="n">
        <f aca="false">IFERROR('1. Cash Flows'!D14*D15,"")</f>
        <v>142.524</v>
      </c>
    </row>
    <row r="16" customFormat="false" ht="15" hidden="false" customHeight="false" outlineLevel="0" collapsed="false">
      <c r="A16" s="7" t="n">
        <v>8</v>
      </c>
      <c r="B16" s="24" t="n">
        <v>0.11</v>
      </c>
      <c r="C16" s="44" t="n">
        <f aca="false">C15*(1+B16)</f>
        <v>181.692183972902</v>
      </c>
      <c r="D16" s="43" t="n">
        <f aca="false">IFERROR($C$17/C16,"")</f>
        <v>1.07</v>
      </c>
      <c r="E16" s="18" t="n">
        <f aca="false">'1. Cash Flows'!B15</f>
        <v>0</v>
      </c>
      <c r="F16" s="18" t="n">
        <f aca="false">'1. Cash Flows'!C15</f>
        <v>100</v>
      </c>
      <c r="G16" s="9" t="n">
        <f aca="false">IFERROR(E16*D16,"")</f>
        <v>0</v>
      </c>
      <c r="H16" s="9" t="n">
        <f aca="false">IFERROR(F16*D16,"")</f>
        <v>107</v>
      </c>
      <c r="I16" s="9" t="n">
        <f aca="false">IFERROR('1. Cash Flows'!D15*D16,"")</f>
        <v>107</v>
      </c>
    </row>
    <row r="17" customFormat="false" ht="15" hidden="false" customHeight="false" outlineLevel="0" collapsed="false">
      <c r="A17" s="7" t="n">
        <v>9</v>
      </c>
      <c r="B17" s="24" t="n">
        <v>0.07</v>
      </c>
      <c r="C17" s="44" t="n">
        <f aca="false">C16*(1+B17)</f>
        <v>194.410636851006</v>
      </c>
      <c r="D17" s="43" t="n">
        <f aca="false">IFERROR($C$17/C17,"")</f>
        <v>1</v>
      </c>
      <c r="E17" s="18" t="n">
        <f aca="false">'1. Cash Flows'!B16</f>
        <v>0</v>
      </c>
      <c r="F17" s="18" t="n">
        <f aca="false">'1. Cash Flows'!C16</f>
        <v>60</v>
      </c>
      <c r="G17" s="9" t="n">
        <f aca="false">IFERROR(E17*D17,"")</f>
        <v>0</v>
      </c>
      <c r="H17" s="9" t="n">
        <f aca="false">IFERROR(F17*D17,"")</f>
        <v>60</v>
      </c>
      <c r="I17" s="9" t="n">
        <f aca="false">IFERROR('1. Cash Flows'!D16*D17,"")+'1. Cash Flows'!$D$20</f>
        <v>145</v>
      </c>
    </row>
    <row r="18" customFormat="false" ht="15" hidden="false" customHeight="false" outlineLevel="0" collapsed="false">
      <c r="A18" s="10" t="s">
        <v>28</v>
      </c>
      <c r="E18" s="11" t="n">
        <f aca="false">SUM(E8:E17)</f>
        <v>270</v>
      </c>
      <c r="F18" s="11" t="n">
        <f aca="false">SUM(F8:F17)</f>
        <v>410</v>
      </c>
      <c r="G18" s="11" t="n">
        <f aca="false">SUM(G8:G17)</f>
        <v>464.015640313026</v>
      </c>
      <c r="H18" s="11" t="n">
        <f aca="false">SUM(H8:H17)</f>
        <v>489.7788536</v>
      </c>
    </row>
    <row r="20" customFormat="false" ht="15" hidden="false" customHeight="false" outlineLevel="0" collapsed="false">
      <c r="A20" s="13" t="s">
        <v>108</v>
      </c>
      <c r="C20" s="45" t="n">
        <f aca="false">C17</f>
        <v>194.410636851006</v>
      </c>
      <c r="D20" s="46" t="n">
        <v>194.4</v>
      </c>
      <c r="E20" s="5" t="s">
        <v>109</v>
      </c>
    </row>
    <row r="21" customFormat="false" ht="15" hidden="false" customHeight="false" outlineLevel="0" collapsed="false">
      <c r="A21" s="13" t="s">
        <v>110</v>
      </c>
      <c r="C21" s="47" t="n">
        <f aca="false">IFERROR((C17/C8)^(1/9)-1,"")</f>
        <v>0.0766635304315575</v>
      </c>
      <c r="D21" s="48" t="n">
        <v>0.0767</v>
      </c>
      <c r="E21" s="5" t="s">
        <v>109</v>
      </c>
    </row>
    <row r="23" customFormat="false" ht="15" hidden="false" customHeight="false" outlineLevel="0" collapsed="false">
      <c r="A23" s="12" t="s">
        <v>111</v>
      </c>
    </row>
    <row r="24" customFormat="false" ht="15" hidden="false" customHeight="false" outlineLevel="0" collapsed="false">
      <c r="A24" s="13" t="s">
        <v>112</v>
      </c>
      <c r="D24" s="15" t="n">
        <f aca="false">G18</f>
        <v>464.015640313026</v>
      </c>
      <c r="E24" s="49" t="n">
        <v>464</v>
      </c>
      <c r="F24" s="5" t="s">
        <v>109</v>
      </c>
    </row>
    <row r="25" customFormat="false" ht="15" hidden="false" customHeight="false" outlineLevel="0" collapsed="false">
      <c r="A25" s="13" t="s">
        <v>113</v>
      </c>
      <c r="D25" s="15" t="n">
        <f aca="false">H18</f>
        <v>489.7788536</v>
      </c>
      <c r="E25" s="49" t="n">
        <v>489.8</v>
      </c>
      <c r="F25" s="5" t="s">
        <v>109</v>
      </c>
    </row>
    <row r="26" customFormat="false" ht="15" hidden="false" customHeight="false" outlineLevel="0" collapsed="false">
      <c r="A26" s="13" t="s">
        <v>114</v>
      </c>
      <c r="D26" s="50" t="n">
        <f aca="false">'1. Cash Flows'!D20</f>
        <v>85</v>
      </c>
    </row>
    <row r="27" customFormat="false" ht="15" hidden="false" customHeight="false" outlineLevel="0" collapsed="false">
      <c r="A27" s="13" t="s">
        <v>115</v>
      </c>
      <c r="D27" s="15" t="n">
        <f aca="false">D25+D26</f>
        <v>574.7788536</v>
      </c>
      <c r="E27" s="49" t="n">
        <v>574.8</v>
      </c>
      <c r="F27" s="5" t="s">
        <v>109</v>
      </c>
    </row>
    <row r="28" customFormat="false" ht="15" hidden="false" customHeight="false" outlineLevel="0" collapsed="false">
      <c r="A28" s="10" t="s">
        <v>116</v>
      </c>
      <c r="D28" s="51" t="n">
        <f aca="false">IFERROR(D27/D24,"")</f>
        <v>1.23870577554725</v>
      </c>
      <c r="E28" s="52" t="n">
        <v>1.239</v>
      </c>
      <c r="F28" s="5" t="s">
        <v>109</v>
      </c>
    </row>
    <row r="29" customFormat="false" ht="15" hidden="false" customHeight="false" outlineLevel="0" collapsed="false">
      <c r="A29" s="13" t="s">
        <v>117</v>
      </c>
      <c r="D29" s="27" t="n">
        <f aca="false">IFERROR(D28-1,"")</f>
        <v>0.238705775547249</v>
      </c>
    </row>
    <row r="31" customFormat="false" ht="15" hidden="false" customHeight="false" outlineLevel="0" collapsed="false">
      <c r="A31" s="12" t="s">
        <v>118</v>
      </c>
    </row>
    <row r="32" customFormat="false" ht="15" hidden="false" customHeight="false" outlineLevel="0" collapsed="false">
      <c r="A32" s="5" t="s">
        <v>119</v>
      </c>
    </row>
    <row r="33" customFormat="false" ht="23.85" hidden="false" customHeight="false" outlineLevel="0" collapsed="false">
      <c r="A33" s="6" t="s">
        <v>23</v>
      </c>
      <c r="B33" s="6" t="s">
        <v>120</v>
      </c>
      <c r="C33" s="6" t="s">
        <v>85</v>
      </c>
      <c r="D33" s="6" t="s">
        <v>121</v>
      </c>
    </row>
    <row r="34" customFormat="false" ht="15" hidden="false" customHeight="false" outlineLevel="0" collapsed="false">
      <c r="A34" s="7" t="n">
        <f aca="false">A8</f>
        <v>0</v>
      </c>
      <c r="B34" s="9" t="n">
        <f aca="false">E8</f>
        <v>60</v>
      </c>
      <c r="C34" s="9" t="n">
        <f aca="false">F8</f>
        <v>0</v>
      </c>
      <c r="D34" s="9" t="n">
        <f aca="false">B34-C34</f>
        <v>60</v>
      </c>
    </row>
    <row r="35" customFormat="false" ht="15" hidden="false" customHeight="false" outlineLevel="0" collapsed="false">
      <c r="A35" s="7" t="n">
        <f aca="false">A9</f>
        <v>1</v>
      </c>
      <c r="B35" s="9" t="n">
        <f aca="false">E9</f>
        <v>75</v>
      </c>
      <c r="C35" s="9" t="n">
        <f aca="false">F9</f>
        <v>0</v>
      </c>
      <c r="D35" s="9" t="n">
        <f aca="false">D34*(1+B9)+B35-C35</f>
        <v>140.4</v>
      </c>
    </row>
    <row r="36" customFormat="false" ht="15" hidden="false" customHeight="false" outlineLevel="0" collapsed="false">
      <c r="A36" s="7" t="n">
        <f aca="false">A10</f>
        <v>2</v>
      </c>
      <c r="B36" s="9" t="n">
        <f aca="false">E10</f>
        <v>60</v>
      </c>
      <c r="C36" s="9" t="n">
        <f aca="false">F10</f>
        <v>0</v>
      </c>
      <c r="D36" s="9" t="n">
        <f aca="false">D35*(1+B10)+B36-C36</f>
        <v>217.248</v>
      </c>
    </row>
    <row r="37" customFormat="false" ht="15" hidden="false" customHeight="false" outlineLevel="0" collapsed="false">
      <c r="A37" s="7" t="n">
        <f aca="false">A11</f>
        <v>3</v>
      </c>
      <c r="B37" s="9" t="n">
        <f aca="false">E11</f>
        <v>45</v>
      </c>
      <c r="C37" s="9" t="n">
        <f aca="false">F11</f>
        <v>0</v>
      </c>
      <c r="D37" s="9" t="n">
        <f aca="false">D36*(1+B11)+B37-C37</f>
        <v>251.3856</v>
      </c>
    </row>
    <row r="38" customFormat="false" ht="15" hidden="false" customHeight="false" outlineLevel="0" collapsed="false">
      <c r="A38" s="7" t="n">
        <f aca="false">A12</f>
        <v>4</v>
      </c>
      <c r="B38" s="9" t="n">
        <f aca="false">E12</f>
        <v>30</v>
      </c>
      <c r="C38" s="9" t="n">
        <f aca="false">F12</f>
        <v>0</v>
      </c>
      <c r="D38" s="9" t="n">
        <f aca="false">D37*(1+B12)+B38-C38</f>
        <v>326.635008</v>
      </c>
    </row>
    <row r="39" customFormat="false" ht="15" hidden="false" customHeight="false" outlineLevel="0" collapsed="false">
      <c r="A39" s="7" t="n">
        <f aca="false">A13</f>
        <v>5</v>
      </c>
      <c r="B39" s="9" t="n">
        <f aca="false">E13</f>
        <v>0</v>
      </c>
      <c r="C39" s="9" t="n">
        <f aca="false">F13</f>
        <v>40</v>
      </c>
      <c r="D39" s="9" t="n">
        <f aca="false">D38*(1+B13)+B39-C39</f>
        <v>332.36390912</v>
      </c>
    </row>
    <row r="40" customFormat="false" ht="15" hidden="false" customHeight="false" outlineLevel="0" collapsed="false">
      <c r="A40" s="7" t="n">
        <f aca="false">A14</f>
        <v>6</v>
      </c>
      <c r="B40" s="9" t="n">
        <f aca="false">E14</f>
        <v>0</v>
      </c>
      <c r="C40" s="9" t="n">
        <f aca="false">F14</f>
        <v>90</v>
      </c>
      <c r="D40" s="9" t="n">
        <f aca="false">D39*(1+B14)+B40-C40</f>
        <v>195.8329618432</v>
      </c>
    </row>
    <row r="41" customFormat="false" ht="15" hidden="false" customHeight="false" outlineLevel="0" collapsed="false">
      <c r="A41" s="7" t="n">
        <f aca="false">A15</f>
        <v>7</v>
      </c>
      <c r="B41" s="9" t="n">
        <f aca="false">E15</f>
        <v>0</v>
      </c>
      <c r="C41" s="9" t="n">
        <f aca="false">F15</f>
        <v>120</v>
      </c>
      <c r="D41" s="9" t="n">
        <f aca="false">D40*(1+B15)+B41-C41</f>
        <v>118.916213448704</v>
      </c>
    </row>
    <row r="42" customFormat="false" ht="15" hidden="false" customHeight="false" outlineLevel="0" collapsed="false">
      <c r="A42" s="7" t="n">
        <f aca="false">A16</f>
        <v>8</v>
      </c>
      <c r="B42" s="9" t="n">
        <f aca="false">E16</f>
        <v>0</v>
      </c>
      <c r="C42" s="9" t="n">
        <f aca="false">F16</f>
        <v>100</v>
      </c>
      <c r="D42" s="9" t="n">
        <f aca="false">D41*(1+B16)+B42-C42</f>
        <v>31.9969969280614</v>
      </c>
    </row>
    <row r="43" customFormat="false" ht="15" hidden="false" customHeight="false" outlineLevel="0" collapsed="false">
      <c r="A43" s="7" t="n">
        <f aca="false">A17</f>
        <v>9</v>
      </c>
      <c r="B43" s="9" t="n">
        <f aca="false">E17</f>
        <v>0</v>
      </c>
      <c r="C43" s="9" t="n">
        <f aca="false">F17</f>
        <v>60</v>
      </c>
      <c r="D43" s="9" t="n">
        <f aca="false">D42*(1+B17)+B43-C43</f>
        <v>-25.7632132869743</v>
      </c>
    </row>
    <row r="44" customFormat="false" ht="15" hidden="false" customHeight="false" outlineLevel="0" collapsed="false">
      <c r="A44" s="10" t="s">
        <v>122</v>
      </c>
      <c r="D44" s="53" t="n">
        <f aca="false">D43</f>
        <v>-25.7632132869743</v>
      </c>
      <c r="E44" s="49" t="n">
        <v>-25.8</v>
      </c>
      <c r="F44" s="5" t="s">
        <v>109</v>
      </c>
    </row>
    <row r="45" customFormat="false" ht="15" hidden="false" customHeight="false" outlineLevel="0" collapsed="false">
      <c r="A45" s="13" t="s">
        <v>123</v>
      </c>
      <c r="D45" s="10" t="str">
        <f aca="false">IF(D44&gt;0,"Yes","NO — negative synthetic value; use PME+")</f>
        <v>NO — negative synthetic value; use PME+</v>
      </c>
    </row>
    <row r="46" customFormat="false" ht="15" hidden="false" customHeight="false" outlineLevel="0" collapsed="false">
      <c r="A46" s="5" t="s">
        <v>124</v>
      </c>
    </row>
    <row r="48" customFormat="false" ht="15" hidden="false" customHeight="false" outlineLevel="0" collapsed="false">
      <c r="A48" s="12" t="s">
        <v>125</v>
      </c>
    </row>
    <row r="49" customFormat="false" ht="15" hidden="false" customHeight="false" outlineLevel="0" collapsed="false">
      <c r="A49" s="5" t="s">
        <v>126</v>
      </c>
    </row>
    <row r="50" customFormat="false" ht="15" hidden="false" customHeight="false" outlineLevel="0" collapsed="false">
      <c r="A50" s="13" t="s">
        <v>127</v>
      </c>
      <c r="D50" s="54" t="n">
        <f aca="false">IFERROR((D24-D26)/D25,"")</f>
        <v>0.773850560364466</v>
      </c>
      <c r="E50" s="55" t="n">
        <v>0.7739</v>
      </c>
      <c r="F50" s="5" t="s">
        <v>109</v>
      </c>
    </row>
    <row r="52" customFormat="false" ht="23.85" hidden="false" customHeight="false" outlineLevel="0" collapsed="false">
      <c r="A52" s="6" t="s">
        <v>23</v>
      </c>
      <c r="B52" s="6" t="s">
        <v>120</v>
      </c>
      <c r="C52" s="6" t="s">
        <v>128</v>
      </c>
      <c r="D52" s="6" t="s">
        <v>129</v>
      </c>
    </row>
    <row r="53" customFormat="false" ht="15" hidden="false" customHeight="false" outlineLevel="0" collapsed="false">
      <c r="A53" s="7" t="n">
        <f aca="false">A8</f>
        <v>0</v>
      </c>
      <c r="B53" s="9" t="n">
        <f aca="false">E8</f>
        <v>60</v>
      </c>
      <c r="C53" s="9" t="n">
        <f aca="false">IFERROR(F8*$D$50,"")</f>
        <v>0</v>
      </c>
      <c r="D53" s="9" t="n">
        <f aca="false">IFERROR(C53-B53,"")</f>
        <v>-60</v>
      </c>
    </row>
    <row r="54" customFormat="false" ht="15" hidden="false" customHeight="false" outlineLevel="0" collapsed="false">
      <c r="A54" s="7" t="n">
        <f aca="false">A9</f>
        <v>1</v>
      </c>
      <c r="B54" s="9" t="n">
        <f aca="false">E9</f>
        <v>75</v>
      </c>
      <c r="C54" s="9" t="n">
        <f aca="false">IFERROR(F9*$D$50,"")</f>
        <v>0</v>
      </c>
      <c r="D54" s="9" t="n">
        <f aca="false">IFERROR(C54-B54,"")</f>
        <v>-75</v>
      </c>
    </row>
    <row r="55" customFormat="false" ht="15" hidden="false" customHeight="false" outlineLevel="0" collapsed="false">
      <c r="A55" s="7" t="n">
        <f aca="false">A10</f>
        <v>2</v>
      </c>
      <c r="B55" s="9" t="n">
        <f aca="false">E10</f>
        <v>60</v>
      </c>
      <c r="C55" s="9" t="n">
        <f aca="false">IFERROR(F10*$D$50,"")</f>
        <v>0</v>
      </c>
      <c r="D55" s="9" t="n">
        <f aca="false">IFERROR(C55-B55,"")</f>
        <v>-60</v>
      </c>
    </row>
    <row r="56" customFormat="false" ht="15" hidden="false" customHeight="false" outlineLevel="0" collapsed="false">
      <c r="A56" s="7" t="n">
        <f aca="false">A11</f>
        <v>3</v>
      </c>
      <c r="B56" s="9" t="n">
        <f aca="false">E11</f>
        <v>45</v>
      </c>
      <c r="C56" s="9" t="n">
        <f aca="false">IFERROR(F11*$D$50,"")</f>
        <v>0</v>
      </c>
      <c r="D56" s="9" t="n">
        <f aca="false">IFERROR(C56-B56,"")</f>
        <v>-45</v>
      </c>
    </row>
    <row r="57" customFormat="false" ht="15" hidden="false" customHeight="false" outlineLevel="0" collapsed="false">
      <c r="A57" s="7" t="n">
        <f aca="false">A12</f>
        <v>4</v>
      </c>
      <c r="B57" s="9" t="n">
        <f aca="false">E12</f>
        <v>30</v>
      </c>
      <c r="C57" s="9" t="n">
        <f aca="false">IFERROR(F12*$D$50,"")</f>
        <v>0</v>
      </c>
      <c r="D57" s="9" t="n">
        <f aca="false">IFERROR(C57-B57,"")</f>
        <v>-30</v>
      </c>
    </row>
    <row r="58" customFormat="false" ht="15" hidden="false" customHeight="false" outlineLevel="0" collapsed="false">
      <c r="A58" s="7" t="n">
        <f aca="false">A13</f>
        <v>5</v>
      </c>
      <c r="B58" s="9" t="n">
        <f aca="false">E13</f>
        <v>0</v>
      </c>
      <c r="C58" s="9" t="n">
        <f aca="false">IFERROR(F13*$D$50,"")</f>
        <v>30.9540224145787</v>
      </c>
      <c r="D58" s="9" t="n">
        <f aca="false">IFERROR(C58-B58,"")</f>
        <v>30.9540224145787</v>
      </c>
    </row>
    <row r="59" customFormat="false" ht="15" hidden="false" customHeight="false" outlineLevel="0" collapsed="false">
      <c r="A59" s="7" t="n">
        <f aca="false">A14</f>
        <v>6</v>
      </c>
      <c r="B59" s="9" t="n">
        <f aca="false">E14</f>
        <v>0</v>
      </c>
      <c r="C59" s="9" t="n">
        <f aca="false">IFERROR(F14*$D$50,"")</f>
        <v>69.646550432802</v>
      </c>
      <c r="D59" s="9" t="n">
        <f aca="false">IFERROR(C59-B59,"")</f>
        <v>69.646550432802</v>
      </c>
    </row>
    <row r="60" customFormat="false" ht="15" hidden="false" customHeight="false" outlineLevel="0" collapsed="false">
      <c r="A60" s="7" t="n">
        <f aca="false">A15</f>
        <v>7</v>
      </c>
      <c r="B60" s="9" t="n">
        <f aca="false">E15</f>
        <v>0</v>
      </c>
      <c r="C60" s="9" t="n">
        <f aca="false">IFERROR(F15*$D$50,"")</f>
        <v>92.862067243736</v>
      </c>
      <c r="D60" s="9" t="n">
        <f aca="false">IFERROR(C60-B60,"")</f>
        <v>92.862067243736</v>
      </c>
    </row>
    <row r="61" customFormat="false" ht="15" hidden="false" customHeight="false" outlineLevel="0" collapsed="false">
      <c r="A61" s="7" t="n">
        <f aca="false">A16</f>
        <v>8</v>
      </c>
      <c r="B61" s="9" t="n">
        <f aca="false">E16</f>
        <v>0</v>
      </c>
      <c r="C61" s="9" t="n">
        <f aca="false">IFERROR(F16*$D$50,"")</f>
        <v>77.3850560364466</v>
      </c>
      <c r="D61" s="9" t="n">
        <f aca="false">IFERROR(C61-B61,"")</f>
        <v>77.3850560364466</v>
      </c>
    </row>
    <row r="62" customFormat="false" ht="15" hidden="false" customHeight="false" outlineLevel="0" collapsed="false">
      <c r="A62" s="7" t="n">
        <f aca="false">A17</f>
        <v>9</v>
      </c>
      <c r="B62" s="9" t="n">
        <f aca="false">E17</f>
        <v>0</v>
      </c>
      <c r="C62" s="9" t="n">
        <f aca="false">IFERROR(F17*$D$50,"")</f>
        <v>46.431033621868</v>
      </c>
      <c r="D62" s="9" t="n">
        <f aca="false">IFERROR(C62-B62,"")+'1. Cash Flows'!$D$20</f>
        <v>131.431033621868</v>
      </c>
    </row>
    <row r="63" customFormat="false" ht="15" hidden="false" customHeight="false" outlineLevel="0" collapsed="false">
      <c r="A63" s="10" t="s">
        <v>130</v>
      </c>
      <c r="D63" s="56" t="n">
        <f aca="false">IFERROR(IRR(D53:D62),"")</f>
        <v>0.0705410758380066</v>
      </c>
      <c r="E63" s="48" t="n">
        <v>0.0705</v>
      </c>
      <c r="F63" s="5" t="s">
        <v>109</v>
      </c>
    </row>
    <row r="64" customFormat="false" ht="15" hidden="false" customHeight="false" outlineLevel="0" collapsed="false">
      <c r="A64" s="13" t="s">
        <v>131</v>
      </c>
      <c r="D64" s="57" t="n">
        <f aca="false">'3. IRR'!B19</f>
        <v>0.110672241691284</v>
      </c>
    </row>
    <row r="66" customFormat="false" ht="15" hidden="false" customHeight="false" outlineLevel="0" collapsed="false">
      <c r="A66" s="12" t="s">
        <v>132</v>
      </c>
    </row>
    <row r="67" customFormat="false" ht="15" hidden="false" customHeight="false" outlineLevel="0" collapsed="false">
      <c r="A67" s="5" t="s">
        <v>133</v>
      </c>
    </row>
    <row r="68" customFormat="false" ht="15" hidden="false" customHeight="false" outlineLevel="0" collapsed="false">
      <c r="A68" s="10" t="s">
        <v>134</v>
      </c>
      <c r="D68" s="56" t="n">
        <f aca="false">IFERROR(IRR(I8:I17),"")</f>
        <v>0.0380397478166134</v>
      </c>
      <c r="E68" s="48" t="n">
        <v>0.038</v>
      </c>
      <c r="F68" s="5" t="s">
        <v>109</v>
      </c>
    </row>
    <row r="69" customFormat="false" ht="15" hidden="false" customHeight="false" outlineLevel="0" collapsed="false">
      <c r="A69" s="13" t="s">
        <v>135</v>
      </c>
      <c r="D69" s="58" t="n">
        <f aca="false">IFERROR((1+D64)/(1+D63)-1,"")</f>
        <v>0.0374868062132634</v>
      </c>
      <c r="E69" s="48" t="n">
        <v>0.0375</v>
      </c>
      <c r="F69" s="5" t="s">
        <v>109</v>
      </c>
    </row>
    <row r="70" customFormat="false" ht="15" hidden="false" customHeight="false" outlineLevel="0" collapsed="false">
      <c r="A70" s="13" t="s">
        <v>136</v>
      </c>
      <c r="D70" s="59" t="n">
        <f aca="false">IFERROR(ROUND((D68-D69)*10000,0),"")</f>
        <v>6</v>
      </c>
    </row>
    <row r="71" customFormat="false" ht="15" hidden="false" customHeight="false" outlineLevel="0" collapsed="false">
      <c r="A71" s="13" t="s">
        <v>137</v>
      </c>
      <c r="D71" s="59" t="n">
        <f aca="false">IFERROR(ROUND((D64-D63)*10000,0),"")</f>
        <v>401</v>
      </c>
    </row>
    <row r="72" customFormat="false" ht="15" hidden="false" customHeight="false" outlineLevel="0" collapsed="false">
      <c r="A72" s="13" t="s">
        <v>138</v>
      </c>
      <c r="D72" s="59" t="n">
        <f aca="false">IFERROR(ROUND((D71-D68*10000),0),"")</f>
        <v>21</v>
      </c>
    </row>
    <row r="74" customFormat="false" ht="15" hidden="false" customHeight="false" outlineLevel="0" collapsed="false">
      <c r="A74" s="12" t="s">
        <v>139</v>
      </c>
    </row>
    <row r="75" customFormat="false" ht="15" hidden="false" customHeight="true" outlineLevel="0" collapsed="false">
      <c r="A75" s="40" t="s">
        <v>140</v>
      </c>
      <c r="B75" s="40"/>
      <c r="C75" s="40"/>
      <c r="D75" s="40"/>
      <c r="E75" s="40"/>
      <c r="F75" s="40"/>
      <c r="G75" s="40"/>
      <c r="H75" s="40"/>
      <c r="I75" s="40"/>
    </row>
    <row r="76" customFormat="false" ht="15" hidden="false" customHeight="false" outlineLevel="0" collapsed="false">
      <c r="A76" s="40"/>
      <c r="B76" s="40"/>
      <c r="C76" s="40"/>
      <c r="D76" s="40"/>
      <c r="E76" s="40"/>
      <c r="F76" s="40"/>
      <c r="G76" s="40"/>
      <c r="H76" s="40"/>
      <c r="I76" s="40"/>
    </row>
    <row r="77" customFormat="false" ht="15" hidden="false" customHeight="false" outlineLevel="0" collapsed="false">
      <c r="A77" s="40"/>
      <c r="B77" s="40"/>
      <c r="C77" s="40"/>
      <c r="D77" s="40"/>
      <c r="E77" s="40"/>
      <c r="F77" s="40"/>
      <c r="G77" s="40"/>
      <c r="H77" s="40"/>
      <c r="I77" s="40"/>
    </row>
    <row r="78" customFormat="false" ht="15" hidden="false" customHeight="false" outlineLevel="0" collapsed="false">
      <c r="A78" s="40"/>
      <c r="B78" s="40"/>
      <c r="C78" s="40"/>
      <c r="D78" s="40"/>
      <c r="E78" s="40"/>
      <c r="F78" s="40"/>
      <c r="G78" s="40"/>
      <c r="H78" s="40"/>
      <c r="I78" s="40"/>
    </row>
    <row r="80" customFormat="false" ht="15" hidden="false" customHeight="false" outlineLevel="0" collapsed="false">
      <c r="A80" s="13" t="s">
        <v>141</v>
      </c>
      <c r="D80" s="36" t="n">
        <v>0.03</v>
      </c>
    </row>
    <row r="81" customFormat="false" ht="15" hidden="false" customHeight="false" outlineLevel="0" collapsed="false">
      <c r="A81" s="13" t="s">
        <v>142</v>
      </c>
      <c r="D81" s="47" t="n">
        <f aca="false">IFERROR(D63+D80,"")</f>
        <v>0.100541075838007</v>
      </c>
      <c r="E81" s="48" t="n">
        <v>0.1005</v>
      </c>
      <c r="F81" s="5" t="s">
        <v>109</v>
      </c>
    </row>
    <row r="82" customFormat="false" ht="15" hidden="false" customHeight="false" outlineLevel="0" collapsed="false">
      <c r="A82" s="13" t="s">
        <v>143</v>
      </c>
      <c r="D82" s="60" t="n">
        <f aca="false">IFERROR(ROUND((D64-D81)*10000,0),"")</f>
        <v>101</v>
      </c>
      <c r="E82" s="61" t="n">
        <v>102</v>
      </c>
      <c r="F82" s="5" t="s">
        <v>109</v>
      </c>
    </row>
    <row r="83" customFormat="false" ht="15" hidden="false" customHeight="false" outlineLevel="0" collapsed="false">
      <c r="A83" s="13" t="s">
        <v>144</v>
      </c>
      <c r="D83" s="58" t="n">
        <f aca="false">IFERROR(C21+D80,"")</f>
        <v>0.106663530431557</v>
      </c>
    </row>
    <row r="84" customFormat="false" ht="15" hidden="false" customHeight="false" outlineLevel="0" collapsed="false">
      <c r="A84" s="13" t="s">
        <v>145</v>
      </c>
      <c r="D84" s="59" t="n">
        <f aca="false">IFERROR(ROUND((D64-D83)*10000,0),"")</f>
        <v>40</v>
      </c>
    </row>
    <row r="85" customFormat="false" ht="15" hidden="false" customHeight="false" outlineLevel="0" collapsed="false">
      <c r="A85" s="10" t="s">
        <v>146</v>
      </c>
      <c r="D85" s="10" t="str">
        <f aca="false">IF(D64&gt;D81,"CLEARED","NOT CLEARED")</f>
        <v>CLEARED</v>
      </c>
    </row>
  </sheetData>
  <mergeCells count="1">
    <mergeCell ref="A75:I7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3" min="2" style="0" width="14"/>
    <col collapsed="false" customWidth="true" hidden="false" outlineLevel="0" max="8" min="4" style="0" width="16"/>
  </cols>
  <sheetData>
    <row r="1" customFormat="false" ht="17.35" hidden="false" customHeight="false" outlineLevel="0" collapsed="false">
      <c r="A1" s="1" t="s">
        <v>147</v>
      </c>
    </row>
    <row r="2" customFormat="false" ht="15" hidden="false" customHeight="false" outlineLevel="0" collapsed="false">
      <c r="A2" s="2" t="s">
        <v>148</v>
      </c>
    </row>
    <row r="4" customFormat="false" ht="15" hidden="false" customHeight="false" outlineLevel="0" collapsed="false">
      <c r="A4" s="12" t="s">
        <v>149</v>
      </c>
    </row>
    <row r="5" customFormat="false" ht="15" hidden="false" customHeight="false" outlineLevel="0" collapsed="false">
      <c r="A5" s="13" t="s">
        <v>150</v>
      </c>
      <c r="B5" s="14" t="n">
        <v>300</v>
      </c>
    </row>
    <row r="6" customFormat="false" ht="15" hidden="false" customHeight="false" outlineLevel="0" collapsed="false">
      <c r="A6" s="13" t="s">
        <v>151</v>
      </c>
      <c r="B6" s="36" t="n">
        <v>0.02</v>
      </c>
    </row>
    <row r="7" customFormat="false" ht="15" hidden="false" customHeight="false" outlineLevel="0" collapsed="false">
      <c r="A7" s="13" t="s">
        <v>152</v>
      </c>
      <c r="B7" s="36" t="n">
        <v>0.0175</v>
      </c>
    </row>
    <row r="8" customFormat="false" ht="15" hidden="false" customHeight="false" outlineLevel="0" collapsed="false">
      <c r="A8" s="13" t="s">
        <v>153</v>
      </c>
      <c r="B8" s="62" t="n">
        <v>5</v>
      </c>
    </row>
    <row r="9" customFormat="false" ht="15" hidden="false" customHeight="false" outlineLevel="0" collapsed="false">
      <c r="A9" s="13" t="s">
        <v>154</v>
      </c>
      <c r="B9" s="14" t="n">
        <v>9.9</v>
      </c>
    </row>
    <row r="10" customFormat="false" ht="15" hidden="false" customHeight="false" outlineLevel="0" collapsed="false">
      <c r="A10" s="13" t="s">
        <v>155</v>
      </c>
      <c r="B10" s="63" t="n">
        <v>0.0045</v>
      </c>
    </row>
    <row r="12" customFormat="false" ht="15" hidden="false" customHeight="false" outlineLevel="0" collapsed="false">
      <c r="A12" s="12" t="s">
        <v>156</v>
      </c>
    </row>
    <row r="13" customFormat="false" ht="15" hidden="false" customHeight="false" outlineLevel="0" collapsed="false">
      <c r="A13" s="6" t="s">
        <v>23</v>
      </c>
      <c r="B13" s="6" t="s">
        <v>157</v>
      </c>
      <c r="C13" s="6" t="s">
        <v>158</v>
      </c>
      <c r="D13" s="6" t="s">
        <v>159</v>
      </c>
      <c r="E13" s="6" t="s">
        <v>160</v>
      </c>
      <c r="F13" s="6" t="s">
        <v>161</v>
      </c>
      <c r="G13" s="6" t="s">
        <v>162</v>
      </c>
    </row>
    <row r="14" customFormat="false" ht="15" hidden="false" customHeight="false" outlineLevel="0" collapsed="false">
      <c r="A14" s="7" t="n">
        <v>0</v>
      </c>
      <c r="B14" s="16" t="s">
        <v>150</v>
      </c>
      <c r="C14" s="9" t="n">
        <f aca="false">$B$5</f>
        <v>300</v>
      </c>
      <c r="D14" s="41" t="n">
        <f aca="false">$B$6</f>
        <v>0.02</v>
      </c>
      <c r="E14" s="9" t="n">
        <f aca="false">C14*D14</f>
        <v>6</v>
      </c>
      <c r="F14" s="9" t="n">
        <f aca="false">$B$9/10</f>
        <v>0.99</v>
      </c>
      <c r="G14" s="9" t="n">
        <f aca="false">E14+F14</f>
        <v>6.99</v>
      </c>
    </row>
    <row r="15" customFormat="false" ht="15" hidden="false" customHeight="false" outlineLevel="0" collapsed="false">
      <c r="A15" s="7" t="n">
        <v>1</v>
      </c>
      <c r="B15" s="16" t="s">
        <v>150</v>
      </c>
      <c r="C15" s="9" t="n">
        <f aca="false">$B$5</f>
        <v>300</v>
      </c>
      <c r="D15" s="41" t="n">
        <f aca="false">$B$6</f>
        <v>0.02</v>
      </c>
      <c r="E15" s="9" t="n">
        <f aca="false">C15*D15</f>
        <v>6</v>
      </c>
      <c r="F15" s="9" t="n">
        <f aca="false">$B$9/10</f>
        <v>0.99</v>
      </c>
      <c r="G15" s="9" t="n">
        <f aca="false">E15+F15</f>
        <v>6.99</v>
      </c>
    </row>
    <row r="16" customFormat="false" ht="15" hidden="false" customHeight="false" outlineLevel="0" collapsed="false">
      <c r="A16" s="7" t="n">
        <v>2</v>
      </c>
      <c r="B16" s="16" t="s">
        <v>150</v>
      </c>
      <c r="C16" s="9" t="n">
        <f aca="false">$B$5</f>
        <v>300</v>
      </c>
      <c r="D16" s="41" t="n">
        <f aca="false">$B$6</f>
        <v>0.02</v>
      </c>
      <c r="E16" s="9" t="n">
        <f aca="false">C16*D16</f>
        <v>6</v>
      </c>
      <c r="F16" s="9" t="n">
        <f aca="false">$B$9/10</f>
        <v>0.99</v>
      </c>
      <c r="G16" s="9" t="n">
        <f aca="false">E16+F16</f>
        <v>6.99</v>
      </c>
    </row>
    <row r="17" customFormat="false" ht="15" hidden="false" customHeight="false" outlineLevel="0" collapsed="false">
      <c r="A17" s="7" t="n">
        <v>3</v>
      </c>
      <c r="B17" s="16" t="s">
        <v>150</v>
      </c>
      <c r="C17" s="9" t="n">
        <f aca="false">$B$5</f>
        <v>300</v>
      </c>
      <c r="D17" s="41" t="n">
        <f aca="false">$B$6</f>
        <v>0.02</v>
      </c>
      <c r="E17" s="9" t="n">
        <f aca="false">C17*D17</f>
        <v>6</v>
      </c>
      <c r="F17" s="9" t="n">
        <f aca="false">$B$9/10</f>
        <v>0.99</v>
      </c>
      <c r="G17" s="9" t="n">
        <f aca="false">E17+F17</f>
        <v>6.99</v>
      </c>
    </row>
    <row r="18" customFormat="false" ht="15" hidden="false" customHeight="false" outlineLevel="0" collapsed="false">
      <c r="A18" s="7" t="n">
        <v>4</v>
      </c>
      <c r="B18" s="16" t="s">
        <v>150</v>
      </c>
      <c r="C18" s="9" t="n">
        <f aca="false">$B$5</f>
        <v>300</v>
      </c>
      <c r="D18" s="41" t="n">
        <f aca="false">$B$6</f>
        <v>0.02</v>
      </c>
      <c r="E18" s="9" t="n">
        <f aca="false">C18*D18</f>
        <v>6</v>
      </c>
      <c r="F18" s="9" t="n">
        <f aca="false">$B$9/10</f>
        <v>0.99</v>
      </c>
      <c r="G18" s="9" t="n">
        <f aca="false">E18+F18</f>
        <v>6.99</v>
      </c>
    </row>
    <row r="19" customFormat="false" ht="15" hidden="false" customHeight="false" outlineLevel="0" collapsed="false">
      <c r="A19" s="7" t="n">
        <v>5</v>
      </c>
      <c r="B19" s="16" t="s">
        <v>163</v>
      </c>
      <c r="C19" s="8" t="n">
        <v>180</v>
      </c>
      <c r="D19" s="41" t="n">
        <f aca="false">$B$7</f>
        <v>0.0175</v>
      </c>
      <c r="E19" s="9" t="n">
        <f aca="false">C19*D19</f>
        <v>3.15</v>
      </c>
      <c r="F19" s="9" t="n">
        <f aca="false">$B$9/10</f>
        <v>0.99</v>
      </c>
      <c r="G19" s="9" t="n">
        <f aca="false">E19+F19</f>
        <v>4.14</v>
      </c>
    </row>
    <row r="20" customFormat="false" ht="15" hidden="false" customHeight="false" outlineLevel="0" collapsed="false">
      <c r="A20" s="7" t="n">
        <v>6</v>
      </c>
      <c r="B20" s="16" t="s">
        <v>163</v>
      </c>
      <c r="C20" s="8" t="n">
        <v>140</v>
      </c>
      <c r="D20" s="41" t="n">
        <f aca="false">$B$7</f>
        <v>0.0175</v>
      </c>
      <c r="E20" s="9" t="n">
        <f aca="false">C20*D20</f>
        <v>2.45</v>
      </c>
      <c r="F20" s="9" t="n">
        <f aca="false">$B$9/10</f>
        <v>0.99</v>
      </c>
      <c r="G20" s="9" t="n">
        <f aca="false">E20+F20</f>
        <v>3.44</v>
      </c>
    </row>
    <row r="21" customFormat="false" ht="15" hidden="false" customHeight="false" outlineLevel="0" collapsed="false">
      <c r="A21" s="7" t="n">
        <v>7</v>
      </c>
      <c r="B21" s="16" t="s">
        <v>163</v>
      </c>
      <c r="C21" s="8" t="n">
        <v>95</v>
      </c>
      <c r="D21" s="41" t="n">
        <f aca="false">$B$7</f>
        <v>0.0175</v>
      </c>
      <c r="E21" s="9" t="n">
        <f aca="false">C21*D21</f>
        <v>1.6625</v>
      </c>
      <c r="F21" s="9" t="n">
        <f aca="false">$B$9/10</f>
        <v>0.99</v>
      </c>
      <c r="G21" s="9" t="n">
        <f aca="false">E21+F21</f>
        <v>2.6525</v>
      </c>
    </row>
    <row r="22" customFormat="false" ht="15" hidden="false" customHeight="false" outlineLevel="0" collapsed="false">
      <c r="A22" s="7" t="n">
        <v>8</v>
      </c>
      <c r="B22" s="16" t="s">
        <v>163</v>
      </c>
      <c r="C22" s="8" t="n">
        <v>50</v>
      </c>
      <c r="D22" s="41" t="n">
        <f aca="false">$B$7</f>
        <v>0.0175</v>
      </c>
      <c r="E22" s="9" t="n">
        <f aca="false">C22*D22</f>
        <v>0.875</v>
      </c>
      <c r="F22" s="9" t="n">
        <f aca="false">$B$9/10</f>
        <v>0.99</v>
      </c>
      <c r="G22" s="9" t="n">
        <f aca="false">E22+F22</f>
        <v>1.865</v>
      </c>
    </row>
    <row r="23" customFormat="false" ht="15" hidden="false" customHeight="false" outlineLevel="0" collapsed="false">
      <c r="A23" s="7" t="n">
        <v>9</v>
      </c>
      <c r="B23" s="16" t="s">
        <v>163</v>
      </c>
      <c r="C23" s="8" t="n">
        <v>20</v>
      </c>
      <c r="D23" s="41" t="n">
        <f aca="false">$B$7</f>
        <v>0.0175</v>
      </c>
      <c r="E23" s="9" t="n">
        <f aca="false">C23*D23</f>
        <v>0.35</v>
      </c>
      <c r="F23" s="9" t="n">
        <f aca="false">$B$9/10</f>
        <v>0.99</v>
      </c>
      <c r="G23" s="9" t="n">
        <f aca="false">E23+F23</f>
        <v>1.34</v>
      </c>
    </row>
    <row r="24" customFormat="false" ht="15" hidden="false" customHeight="false" outlineLevel="0" collapsed="false">
      <c r="A24" s="10" t="s">
        <v>28</v>
      </c>
      <c r="E24" s="11" t="n">
        <f aca="false">SUM(E14:E23)</f>
        <v>38.4875</v>
      </c>
      <c r="F24" s="11" t="n">
        <f aca="false">SUM(F14:F23)</f>
        <v>9.9</v>
      </c>
      <c r="G24" s="11" t="n">
        <f aca="false">SUM(G14:G23)</f>
        <v>48.3875</v>
      </c>
    </row>
    <row r="26" customFormat="false" ht="15" hidden="false" customHeight="false" outlineLevel="0" collapsed="false">
      <c r="A26" s="13" t="s">
        <v>164</v>
      </c>
      <c r="D26" s="53" t="n">
        <f aca="false">E24</f>
        <v>38.4875</v>
      </c>
      <c r="E26" s="49" t="n">
        <v>38.49</v>
      </c>
      <c r="F26" s="5" t="s">
        <v>109</v>
      </c>
    </row>
    <row r="27" customFormat="false" ht="15" hidden="false" customHeight="false" outlineLevel="0" collapsed="false">
      <c r="A27" s="13" t="s">
        <v>165</v>
      </c>
      <c r="D27" s="47" t="n">
        <f aca="false">IFERROR(D26/B5,"")</f>
        <v>0.128291666666667</v>
      </c>
      <c r="E27" s="48" t="n">
        <v>0.1283</v>
      </c>
      <c r="F27" s="5" t="s">
        <v>109</v>
      </c>
    </row>
    <row r="28" customFormat="false" ht="15" hidden="false" customHeight="false" outlineLevel="0" collapsed="false">
      <c r="A28" s="13" t="s">
        <v>166</v>
      </c>
      <c r="D28" s="15" t="n">
        <f aca="false">B9</f>
        <v>9.9</v>
      </c>
    </row>
    <row r="29" customFormat="false" ht="15" hidden="false" customHeight="false" outlineLevel="0" collapsed="false">
      <c r="A29" s="13" t="s">
        <v>167</v>
      </c>
      <c r="D29" s="15" t="n">
        <f aca="false">G24</f>
        <v>48.3875</v>
      </c>
    </row>
    <row r="31" customFormat="false" ht="15" hidden="false" customHeight="false" outlineLevel="0" collapsed="false">
      <c r="A31" s="12" t="s">
        <v>168</v>
      </c>
    </row>
    <row r="32" customFormat="false" ht="23.85" hidden="false" customHeight="false" outlineLevel="0" collapsed="false">
      <c r="A32" s="6" t="s">
        <v>23</v>
      </c>
      <c r="B32" s="6" t="s">
        <v>169</v>
      </c>
      <c r="C32" s="6" t="s">
        <v>170</v>
      </c>
      <c r="D32" s="6" t="s">
        <v>171</v>
      </c>
      <c r="E32" s="6" t="s">
        <v>172</v>
      </c>
    </row>
    <row r="33" customFormat="false" ht="15" hidden="false" customHeight="false" outlineLevel="0" collapsed="false">
      <c r="A33" s="7" t="n">
        <v>0</v>
      </c>
      <c r="B33" s="18" t="n">
        <f aca="false">'1. Cash Flows'!B7</f>
        <v>60</v>
      </c>
      <c r="C33" s="18" t="n">
        <f aca="false">'1. Cash Flows'!C7</f>
        <v>0</v>
      </c>
      <c r="D33" s="9" t="n">
        <f aca="false">G14</f>
        <v>6.99</v>
      </c>
      <c r="E33" s="9" t="n">
        <f aca="false">C33-B33+D33</f>
        <v>-53.01</v>
      </c>
    </row>
    <row r="34" customFormat="false" ht="15" hidden="false" customHeight="false" outlineLevel="0" collapsed="false">
      <c r="A34" s="7" t="n">
        <v>1</v>
      </c>
      <c r="B34" s="18" t="n">
        <f aca="false">'1. Cash Flows'!B8</f>
        <v>75</v>
      </c>
      <c r="C34" s="18" t="n">
        <f aca="false">'1. Cash Flows'!C8</f>
        <v>0</v>
      </c>
      <c r="D34" s="9" t="n">
        <f aca="false">G15</f>
        <v>6.99</v>
      </c>
      <c r="E34" s="9" t="n">
        <f aca="false">C34-B34+D34</f>
        <v>-68.01</v>
      </c>
    </row>
    <row r="35" customFormat="false" ht="15" hidden="false" customHeight="false" outlineLevel="0" collapsed="false">
      <c r="A35" s="7" t="n">
        <v>2</v>
      </c>
      <c r="B35" s="18" t="n">
        <f aca="false">'1. Cash Flows'!B9</f>
        <v>60</v>
      </c>
      <c r="C35" s="18" t="n">
        <f aca="false">'1. Cash Flows'!C9</f>
        <v>0</v>
      </c>
      <c r="D35" s="9" t="n">
        <f aca="false">G16</f>
        <v>6.99</v>
      </c>
      <c r="E35" s="9" t="n">
        <f aca="false">C35-B35+D35</f>
        <v>-53.01</v>
      </c>
    </row>
    <row r="36" customFormat="false" ht="15" hidden="false" customHeight="false" outlineLevel="0" collapsed="false">
      <c r="A36" s="7" t="n">
        <v>3</v>
      </c>
      <c r="B36" s="18" t="n">
        <f aca="false">'1. Cash Flows'!B10</f>
        <v>45</v>
      </c>
      <c r="C36" s="18" t="n">
        <f aca="false">'1. Cash Flows'!C10</f>
        <v>0</v>
      </c>
      <c r="D36" s="9" t="n">
        <f aca="false">G17</f>
        <v>6.99</v>
      </c>
      <c r="E36" s="9" t="n">
        <f aca="false">C36-B36+D36</f>
        <v>-38.01</v>
      </c>
    </row>
    <row r="37" customFormat="false" ht="15" hidden="false" customHeight="false" outlineLevel="0" collapsed="false">
      <c r="A37" s="7" t="n">
        <v>4</v>
      </c>
      <c r="B37" s="18" t="n">
        <f aca="false">'1. Cash Flows'!B11</f>
        <v>30</v>
      </c>
      <c r="C37" s="18" t="n">
        <f aca="false">'1. Cash Flows'!C11</f>
        <v>0</v>
      </c>
      <c r="D37" s="9" t="n">
        <f aca="false">G18</f>
        <v>6.99</v>
      </c>
      <c r="E37" s="9" t="n">
        <f aca="false">C37-B37+D37</f>
        <v>-23.01</v>
      </c>
    </row>
    <row r="38" customFormat="false" ht="15" hidden="false" customHeight="false" outlineLevel="0" collapsed="false">
      <c r="A38" s="7" t="n">
        <v>5</v>
      </c>
      <c r="B38" s="18" t="n">
        <f aca="false">'1. Cash Flows'!B12</f>
        <v>0</v>
      </c>
      <c r="C38" s="18" t="n">
        <f aca="false">'1. Cash Flows'!C12</f>
        <v>40</v>
      </c>
      <c r="D38" s="9" t="n">
        <f aca="false">G19</f>
        <v>4.14</v>
      </c>
      <c r="E38" s="9" t="n">
        <f aca="false">C38-B38+D38</f>
        <v>44.14</v>
      </c>
    </row>
    <row r="39" customFormat="false" ht="15" hidden="false" customHeight="false" outlineLevel="0" collapsed="false">
      <c r="A39" s="7" t="n">
        <v>6</v>
      </c>
      <c r="B39" s="18" t="n">
        <f aca="false">'1. Cash Flows'!B13</f>
        <v>0</v>
      </c>
      <c r="C39" s="18" t="n">
        <f aca="false">'1. Cash Flows'!C13</f>
        <v>90</v>
      </c>
      <c r="D39" s="9" t="n">
        <f aca="false">G20</f>
        <v>3.44</v>
      </c>
      <c r="E39" s="9" t="n">
        <f aca="false">C39-B39+D39</f>
        <v>93.44</v>
      </c>
    </row>
    <row r="40" customFormat="false" ht="15" hidden="false" customHeight="false" outlineLevel="0" collapsed="false">
      <c r="A40" s="7" t="n">
        <v>7</v>
      </c>
      <c r="B40" s="18" t="n">
        <f aca="false">'1. Cash Flows'!B14</f>
        <v>0</v>
      </c>
      <c r="C40" s="18" t="n">
        <f aca="false">'1. Cash Flows'!C14</f>
        <v>120</v>
      </c>
      <c r="D40" s="9" t="n">
        <f aca="false">G21</f>
        <v>2.6525</v>
      </c>
      <c r="E40" s="9" t="n">
        <f aca="false">C40-B40+D40</f>
        <v>122.6525</v>
      </c>
    </row>
    <row r="41" customFormat="false" ht="15" hidden="false" customHeight="false" outlineLevel="0" collapsed="false">
      <c r="A41" s="7" t="n">
        <v>8</v>
      </c>
      <c r="B41" s="18" t="n">
        <f aca="false">'1. Cash Flows'!B15</f>
        <v>0</v>
      </c>
      <c r="C41" s="18" t="n">
        <f aca="false">'1. Cash Flows'!C15</f>
        <v>100</v>
      </c>
      <c r="D41" s="9" t="n">
        <f aca="false">G22</f>
        <v>1.865</v>
      </c>
      <c r="E41" s="9" t="n">
        <f aca="false">C41-B41+D41</f>
        <v>101.865</v>
      </c>
    </row>
    <row r="42" customFormat="false" ht="15" hidden="false" customHeight="false" outlineLevel="0" collapsed="false">
      <c r="A42" s="7" t="n">
        <v>9</v>
      </c>
      <c r="B42" s="18" t="n">
        <f aca="false">'1. Cash Flows'!B16</f>
        <v>0</v>
      </c>
      <c r="C42" s="18" t="n">
        <f aca="false">'1. Cash Flows'!C16</f>
        <v>60</v>
      </c>
      <c r="D42" s="9" t="n">
        <f aca="false">G23</f>
        <v>1.34</v>
      </c>
      <c r="E42" s="9" t="n">
        <f aca="false">C42-B42+D42+'1. Cash Flows'!$D$20</f>
        <v>146.34</v>
      </c>
    </row>
    <row r="44" customFormat="false" ht="15" hidden="false" customHeight="false" outlineLevel="0" collapsed="false">
      <c r="A44" s="12" t="s">
        <v>173</v>
      </c>
    </row>
    <row r="45" customFormat="false" ht="15" hidden="false" customHeight="false" outlineLevel="0" collapsed="false">
      <c r="A45" s="6" t="s">
        <v>47</v>
      </c>
      <c r="B45" s="6" t="s">
        <v>50</v>
      </c>
      <c r="C45" s="6" t="s">
        <v>51</v>
      </c>
      <c r="D45" s="6" t="s">
        <v>52</v>
      </c>
    </row>
    <row r="46" customFormat="false" ht="15" hidden="false" customHeight="false" outlineLevel="0" collapsed="false">
      <c r="A46" s="16" t="s">
        <v>174</v>
      </c>
      <c r="B46" s="29" t="n">
        <f aca="false">IFERROR(IRR(E33:E42),"")</f>
        <v>0.142531393088175</v>
      </c>
      <c r="C46" s="30" t="n">
        <v>0.1429</v>
      </c>
      <c r="D46" s="31" t="n">
        <f aca="false">IFERROR(ROUND((B46-C46)*10000,0),"")</f>
        <v>-4</v>
      </c>
    </row>
    <row r="47" customFormat="false" ht="15" hidden="false" customHeight="false" outlineLevel="0" collapsed="false">
      <c r="A47" s="16" t="s">
        <v>175</v>
      </c>
      <c r="B47" s="37" t="n">
        <f aca="false">'3. IRR'!B19</f>
        <v>0.110672241691284</v>
      </c>
      <c r="C47" s="30" t="n">
        <v>0.1107</v>
      </c>
      <c r="D47" s="31" t="n">
        <f aca="false">IFERROR(ROUND((B47-C47)*10000,0),"")</f>
        <v>-0</v>
      </c>
    </row>
    <row r="48" customFormat="false" ht="15" hidden="false" customHeight="false" outlineLevel="0" collapsed="false">
      <c r="A48" s="17" t="s">
        <v>176</v>
      </c>
      <c r="B48" s="32" t="n">
        <f aca="false">IFERROR(ROUND((B46-B47)*10000,0),"")</f>
        <v>319</v>
      </c>
      <c r="C48" s="33" t="n">
        <v>322</v>
      </c>
      <c r="D48" s="31" t="n">
        <f aca="false">IFERROR(B48-C48,"")</f>
        <v>-3</v>
      </c>
    </row>
    <row r="49" customFormat="false" ht="15" hidden="false" customHeight="false" outlineLevel="0" collapsed="false">
      <c r="A49" s="16" t="s">
        <v>177</v>
      </c>
      <c r="B49" s="25" t="n">
        <f aca="false">-B10</f>
        <v>-0.0045</v>
      </c>
    </row>
    <row r="50" customFormat="false" ht="15" hidden="false" customHeight="false" outlineLevel="0" collapsed="false">
      <c r="A50" s="17" t="s">
        <v>178</v>
      </c>
      <c r="B50" s="29" t="n">
        <f aca="false">IFERROR(B47-B10,"")</f>
        <v>0.106172241691284</v>
      </c>
      <c r="C50" s="30" t="n">
        <v>0.106</v>
      </c>
      <c r="D50" s="31" t="n">
        <f aca="false">IFERROR(ROUND((B50-C50)*10000,0),"")</f>
        <v>2</v>
      </c>
    </row>
    <row r="51" customFormat="false" ht="15" hidden="false" customHeight="false" outlineLevel="0" collapsed="false">
      <c r="A51" s="16" t="s">
        <v>179</v>
      </c>
      <c r="B51" s="32" t="n">
        <f aca="false">IFERROR(ROUND((B50-'5. PME'!D81)*10000,0),"")</f>
        <v>56</v>
      </c>
      <c r="C51" s="33" t="n">
        <v>55</v>
      </c>
      <c r="D51" s="31" t="n">
        <f aca="false">IFERROR(B51-C51,"")</f>
        <v>1</v>
      </c>
    </row>
    <row r="53" customFormat="false" ht="15" hidden="false" customHeight="true" outlineLevel="0" collapsed="false">
      <c r="A53" s="40" t="s">
        <v>180</v>
      </c>
      <c r="B53" s="40"/>
      <c r="C53" s="40"/>
      <c r="D53" s="40"/>
      <c r="E53" s="40"/>
      <c r="F53" s="40"/>
      <c r="G53" s="40"/>
      <c r="H53" s="40"/>
    </row>
    <row r="54" customFormat="false" ht="15" hidden="false" customHeight="false" outlineLevel="0" collapsed="false">
      <c r="A54" s="40"/>
      <c r="B54" s="40"/>
      <c r="C54" s="40"/>
      <c r="D54" s="40"/>
      <c r="E54" s="40"/>
      <c r="F54" s="40"/>
      <c r="G54" s="40"/>
      <c r="H54" s="40"/>
    </row>
    <row r="55" customFormat="false" ht="15" hidden="false" customHeight="false" outlineLevel="0" collapsed="false">
      <c r="A55" s="40"/>
      <c r="B55" s="40"/>
      <c r="C55" s="40"/>
      <c r="D55" s="40"/>
      <c r="E55" s="40"/>
      <c r="F55" s="40"/>
      <c r="G55" s="40"/>
      <c r="H55" s="40"/>
    </row>
    <row r="56" customFormat="false" ht="15" hidden="false" customHeight="false" outlineLevel="0" collapsed="false">
      <c r="A56" s="40"/>
      <c r="B56" s="40"/>
      <c r="C56" s="40"/>
      <c r="D56" s="40"/>
      <c r="E56" s="40"/>
      <c r="F56" s="40"/>
      <c r="G56" s="40"/>
      <c r="H56" s="40"/>
    </row>
  </sheetData>
  <mergeCells count="1">
    <mergeCell ref="A53:H5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20"/>
  </cols>
  <sheetData>
    <row r="1" customFormat="false" ht="17.35" hidden="false" customHeight="false" outlineLevel="0" collapsed="false">
      <c r="A1" s="1" t="s">
        <v>181</v>
      </c>
    </row>
    <row r="2" customFormat="false" ht="15" hidden="false" customHeight="false" outlineLevel="0" collapsed="false">
      <c r="A2" s="2" t="s">
        <v>182</v>
      </c>
    </row>
    <row r="4" customFormat="false" ht="15" hidden="false" customHeight="false" outlineLevel="0" collapsed="false">
      <c r="A4" s="12" t="s">
        <v>183</v>
      </c>
    </row>
    <row r="5" customFormat="false" ht="15" hidden="false" customHeight="false" outlineLevel="0" collapsed="false">
      <c r="A5" s="64" t="str">
        <f aca="false">"Meridian Capital Partners IV, 2018 vintage. Since-inception net IRR "&amp;TEXT('3. IRR'!B19,"0.00%")&amp;" · TVPI "&amp;TEXT('2. Multiples'!D8,"0.00")&amp;"x · DPI "&amp;TEXT('2. Multiples'!D6,"0.00")&amp;"x · "&amp;TEXT('2. Multiples'!D16,"0%")&amp;" of value unrealized · no subscription facility · gross-to-net gap "&amp;TEXT('6. Gross to Net'!B48,"0")&amp;" bp · Kaplan-Schoar PME "&amp;TEXT('5. PME'!D28,"0.00")&amp;" and Direct Alpha "&amp;TEXT('5. PME'!D68,"0.00%")&amp;" a year against the policy index · index-plus-300 hurdle "&amp;IF('5. PME'!D64&gt;'5. PME'!D81,"cleared by ","missed by ")&amp;TEXT(ABS('5. PME'!D82),"0")&amp;" bp before programme costs, and by roughly "&amp;TEXT('6. Gross to Net'!B51,"0")&amp;" bp after them."</f>
        <v>Meridian Capital Partners IV, 2018 vintage. Since-inception net IRR 11.07% · TVPI 1.83x · DPI 1.52x · 17% of value unrealized · no subscription facility · gross-to-net gap 319 bp · Kaplan-Schoar PME 1.24 and Direct Alpha 3.80% a year against the policy index · index-plus-300 hurdle cleared by 101 bp before programme costs, and by roughly 56 bp after them.</v>
      </c>
    </row>
    <row r="6" customFormat="false" ht="15" hidden="false" customHeight="false" outlineLevel="0" collapsed="false">
      <c r="A6" s="64"/>
    </row>
    <row r="7" customFormat="false" ht="15" hidden="false" customHeight="false" outlineLevel="0" collapsed="false">
      <c r="A7" s="64"/>
    </row>
    <row r="8" customFormat="false" ht="15" hidden="false" customHeight="false" outlineLevel="0" collapsed="false">
      <c r="A8" s="64"/>
    </row>
    <row r="9" customFormat="false" ht="15" hidden="false" customHeight="false" outlineLevel="0" collapsed="false">
      <c r="A9" s="64"/>
    </row>
    <row r="11" customFormat="false" ht="15" hidden="false" customHeight="false" outlineLevel="0" collapsed="false">
      <c r="A11" s="12" t="s">
        <v>184</v>
      </c>
    </row>
    <row r="12" customFormat="false" ht="15" hidden="false" customHeight="false" outlineLevel="0" collapsed="false">
      <c r="A12" s="13" t="s">
        <v>185</v>
      </c>
    </row>
    <row r="13" customFormat="false" ht="15" hidden="false" customHeight="false" outlineLevel="0" collapsed="false">
      <c r="A13" s="13" t="s">
        <v>186</v>
      </c>
    </row>
    <row r="14" customFormat="false" ht="15" hidden="false" customHeight="false" outlineLevel="0" collapsed="false">
      <c r="A14" s="13" t="s">
        <v>187</v>
      </c>
    </row>
    <row r="15" customFormat="false" ht="15" hidden="false" customHeight="false" outlineLevel="0" collapsed="false">
      <c r="A15" s="13" t="s">
        <v>188</v>
      </c>
    </row>
    <row r="16" customFormat="false" ht="15" hidden="false" customHeight="false" outlineLevel="0" collapsed="false">
      <c r="A16" s="13" t="s">
        <v>189</v>
      </c>
    </row>
    <row r="18" customFormat="false" ht="15" hidden="false" customHeight="false" outlineLevel="0" collapsed="false">
      <c r="A18" s="12" t="s">
        <v>190</v>
      </c>
    </row>
    <row r="19" customFormat="false" ht="15" hidden="false" customHeight="false" outlineLevel="0" collapsed="false">
      <c r="A19" s="13" t="s">
        <v>191</v>
      </c>
    </row>
    <row r="20" customFormat="false" ht="15" hidden="false" customHeight="false" outlineLevel="0" collapsed="false">
      <c r="A20" s="13" t="s">
        <v>192</v>
      </c>
    </row>
    <row r="21" customFormat="false" ht="15" hidden="false" customHeight="false" outlineLevel="0" collapsed="false">
      <c r="A21" s="13" t="s">
        <v>193</v>
      </c>
    </row>
    <row r="23" customFormat="false" ht="15" hidden="false" customHeight="false" outlineLevel="0" collapsed="false">
      <c r="A23" s="12" t="s">
        <v>194</v>
      </c>
    </row>
    <row r="24" customFormat="false" ht="15" hidden="false" customHeight="false" outlineLevel="0" collapsed="false">
      <c r="A24" s="64" t="str">
        <f aca="false">"The fund returned "&amp;TEXT('3. IRR'!B19,"0.00%")&amp;" net, of which "&amp;TEXT('2. Multiples'!D9,"0%")&amp;" has been received in cash, and it beat its policy benchmark of the index plus "&amp;TEXT('5. PME'!D80*10000,"0")&amp;" basis points by about "&amp;TEXT('5. PME'!D82,"0")&amp;" basis points before the institution's own costs and about "&amp;TEXT('6. Gross to Net'!B51,"0")&amp;" after them."</f>
        <v>The fund returned 11.07% net, of which 83% has been received in cash, and it beat its policy benchmark of the index plus 300 basis points by about 101 basis points before the institution's own costs and about 56 after them.</v>
      </c>
    </row>
    <row r="25" customFormat="false" ht="15" hidden="false" customHeight="false" outlineLevel="0" collapsed="false">
      <c r="A25" s="64"/>
    </row>
    <row r="26" customFormat="false" ht="15" hidden="false" customHeight="false" outlineLevel="0" collapsed="false">
      <c r="A26" s="64"/>
    </row>
    <row r="27" customFormat="false" ht="15" hidden="false" customHeight="false" outlineLevel="0" collapsed="false">
      <c r="A27" s="64"/>
    </row>
    <row r="29" customFormat="false" ht="15" hidden="false" customHeight="true" outlineLevel="0" collapsed="false">
      <c r="A29" s="26" t="s">
        <v>195</v>
      </c>
    </row>
    <row r="30" customFormat="false" ht="15" hidden="false" customHeight="false" outlineLevel="0" collapsed="false">
      <c r="A30" s="26"/>
    </row>
    <row r="31" customFormat="false" ht="15" hidden="false" customHeight="false" outlineLevel="0" collapsed="false">
      <c r="A31" s="26"/>
    </row>
  </sheetData>
  <mergeCells count="3">
    <mergeCell ref="A5:A9"/>
    <mergeCell ref="A24:A27"/>
    <mergeCell ref="A29:A3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4"/>
    <col collapsed="false" customWidth="true" hidden="false" outlineLevel="0" max="3" min="2" style="0" width="18"/>
    <col collapsed="false" customWidth="true" hidden="false" outlineLevel="0" max="4" min="4" style="0" width="16"/>
    <col collapsed="false" customWidth="true" hidden="false" outlineLevel="0" max="5" min="5" style="0" width="14"/>
  </cols>
  <sheetData>
    <row r="1" customFormat="false" ht="17.35" hidden="false" customHeight="false" outlineLevel="0" collapsed="false">
      <c r="A1" s="1" t="s">
        <v>196</v>
      </c>
    </row>
    <row r="2" customFormat="false" ht="15" hidden="false" customHeight="false" outlineLevel="0" collapsed="false">
      <c r="A2" s="2" t="s">
        <v>197</v>
      </c>
    </row>
    <row r="5" customFormat="false" ht="15" hidden="false" customHeight="false" outlineLevel="0" collapsed="false">
      <c r="A5" s="6" t="s">
        <v>198</v>
      </c>
      <c r="B5" s="6" t="s">
        <v>51</v>
      </c>
      <c r="C5" s="6" t="s">
        <v>199</v>
      </c>
      <c r="D5" s="6" t="s">
        <v>52</v>
      </c>
      <c r="E5" s="6" t="s">
        <v>41</v>
      </c>
    </row>
    <row r="6" customFormat="false" ht="15" hidden="false" customHeight="false" outlineLevel="0" collapsed="false">
      <c r="A6" s="16" t="s">
        <v>200</v>
      </c>
      <c r="B6" s="8" t="n">
        <v>270</v>
      </c>
      <c r="C6" s="18" t="n">
        <f aca="false">'1. Cash Flows'!B17</f>
        <v>270</v>
      </c>
      <c r="D6" s="9" t="n">
        <f aca="false">IFERROR(C6-B6,"")</f>
        <v>0</v>
      </c>
      <c r="E6" s="17" t="str">
        <f aca="false">IFERROR(IF(ABS(C6-B6)&lt;=0.05,"OK","VARIANCE"),"")</f>
        <v>OK</v>
      </c>
    </row>
    <row r="7" customFormat="false" ht="15" hidden="false" customHeight="false" outlineLevel="0" collapsed="false">
      <c r="A7" s="16" t="s">
        <v>201</v>
      </c>
      <c r="B7" s="8" t="n">
        <v>410</v>
      </c>
      <c r="C7" s="18" t="n">
        <f aca="false">'1. Cash Flows'!C17</f>
        <v>410</v>
      </c>
      <c r="D7" s="9" t="n">
        <f aca="false">IFERROR(C7-B7,"")</f>
        <v>0</v>
      </c>
      <c r="E7" s="17" t="str">
        <f aca="false">IFERROR(IF(ABS(C7-B7)&lt;=0.05,"OK","VARIANCE"),"")</f>
        <v>OK</v>
      </c>
    </row>
    <row r="8" customFormat="false" ht="15" hidden="false" customHeight="false" outlineLevel="0" collapsed="false">
      <c r="A8" s="16" t="s">
        <v>29</v>
      </c>
      <c r="B8" s="8" t="n">
        <v>85</v>
      </c>
      <c r="C8" s="18" t="n">
        <f aca="false">'1. Cash Flows'!D20</f>
        <v>85</v>
      </c>
      <c r="D8" s="9" t="n">
        <f aca="false">IFERROR(C8-B8,"")</f>
        <v>0</v>
      </c>
      <c r="E8" s="17" t="str">
        <f aca="false">IFERROR(IF(ABS(C8-B8)&lt;=0.05,"OK","VARIANCE"),"")</f>
        <v>OK</v>
      </c>
    </row>
    <row r="9" customFormat="false" ht="15" hidden="false" customHeight="false" outlineLevel="0" collapsed="false">
      <c r="A9" s="16" t="s">
        <v>202</v>
      </c>
      <c r="B9" s="8" t="n">
        <v>495</v>
      </c>
      <c r="C9" s="18" t="n">
        <f aca="false">'1. Cash Flows'!D21</f>
        <v>495</v>
      </c>
      <c r="D9" s="9" t="n">
        <f aca="false">IFERROR(C9-B9,"")</f>
        <v>0</v>
      </c>
      <c r="E9" s="17" t="str">
        <f aca="false">IFERROR(IF(ABS(C9-B9)&lt;=0.05,"OK","VARIANCE"),"")</f>
        <v>OK</v>
      </c>
    </row>
    <row r="10" customFormat="false" ht="15" hidden="false" customHeight="false" outlineLevel="0" collapsed="false">
      <c r="A10" s="16" t="s">
        <v>203</v>
      </c>
      <c r="B10" s="20" t="n">
        <v>1.519</v>
      </c>
      <c r="C10" s="38" t="n">
        <f aca="false">'2. Multiples'!D6</f>
        <v>1.51851851851852</v>
      </c>
      <c r="D10" s="22" t="n">
        <f aca="false">IFERROR(C10-B10,"")</f>
        <v>-0.000481481481481305</v>
      </c>
      <c r="E10" s="17" t="str">
        <f aca="false">IFERROR(IF(ABS(C10-B10)&lt;=0.001,"OK","VARIANCE"),"")</f>
        <v>OK</v>
      </c>
    </row>
    <row r="11" customFormat="false" ht="15" hidden="false" customHeight="false" outlineLevel="0" collapsed="false">
      <c r="A11" s="16" t="s">
        <v>204</v>
      </c>
      <c r="B11" s="20" t="n">
        <v>0.315</v>
      </c>
      <c r="C11" s="38" t="n">
        <f aca="false">'2. Multiples'!D7</f>
        <v>0.314814814814815</v>
      </c>
      <c r="D11" s="22" t="n">
        <f aca="false">IFERROR(C11-B11,"")</f>
        <v>-0.000185185185185177</v>
      </c>
      <c r="E11" s="17" t="str">
        <f aca="false">IFERROR(IF(ABS(C11-B11)&lt;=0.001,"OK","VARIANCE"),"")</f>
        <v>OK</v>
      </c>
    </row>
    <row r="12" customFormat="false" ht="15" hidden="false" customHeight="false" outlineLevel="0" collapsed="false">
      <c r="A12" s="16" t="s">
        <v>94</v>
      </c>
      <c r="B12" s="20" t="n">
        <v>1.833</v>
      </c>
      <c r="C12" s="38" t="n">
        <f aca="false">'2. Multiples'!D8</f>
        <v>1.83333333333333</v>
      </c>
      <c r="D12" s="22" t="n">
        <f aca="false">IFERROR(C12-B12,"")</f>
        <v>0.000333333333333297</v>
      </c>
      <c r="E12" s="17" t="str">
        <f aca="false">IFERROR(IF(ABS(C12-B12)&lt;=0.001,"OK","VARIANCE"),"")</f>
        <v>OK</v>
      </c>
    </row>
    <row r="13" customFormat="false" ht="15" hidden="false" customHeight="false" outlineLevel="0" collapsed="false">
      <c r="A13" s="16" t="s">
        <v>205</v>
      </c>
      <c r="B13" s="24" t="n">
        <v>0.83</v>
      </c>
      <c r="C13" s="65" t="n">
        <f aca="false">'2. Multiples'!D9</f>
        <v>0.828282828282828</v>
      </c>
      <c r="D13" s="41" t="n">
        <f aca="false">IFERROR(C13-B13,"")</f>
        <v>-0.00171717171717156</v>
      </c>
      <c r="E13" s="17" t="str">
        <f aca="false">IFERROR(IF(ABS(C13-B13)&lt;=0.005,"OK","VARIANCE"),"")</f>
        <v>OK</v>
      </c>
    </row>
    <row r="14" customFormat="false" ht="15" hidden="false" customHeight="false" outlineLevel="0" collapsed="false">
      <c r="A14" s="16" t="s">
        <v>206</v>
      </c>
      <c r="B14" s="30" t="n">
        <v>0.1107</v>
      </c>
      <c r="C14" s="37" t="n">
        <f aca="false">'3. IRR'!B19</f>
        <v>0.110672241691284</v>
      </c>
      <c r="D14" s="25" t="n">
        <f aca="false">IFERROR(C14-B14,"")</f>
        <v>-2.77583087156391E-005</v>
      </c>
      <c r="E14" s="17" t="str">
        <f aca="false">IFERROR(IF(ABS(C14-B14)&lt;=0.00005,"OK","VARIANCE"),"")</f>
        <v>OK</v>
      </c>
    </row>
    <row r="15" customFormat="false" ht="15" hidden="false" customHeight="false" outlineLevel="0" collapsed="false">
      <c r="A15" s="16" t="s">
        <v>207</v>
      </c>
      <c r="B15" s="30" t="n">
        <v>0.0795</v>
      </c>
      <c r="C15" s="37" t="n">
        <f aca="false">'3. IRR'!B20</f>
        <v>0.079454462819545</v>
      </c>
      <c r="D15" s="25" t="n">
        <f aca="false">IFERROR(C15-B15,"")</f>
        <v>-4.55371804550103E-005</v>
      </c>
      <c r="E15" s="17" t="str">
        <f aca="false">IFERROR(IF(ABS(C15-B15)&lt;=0.00005,"OK","VARIANCE"),"")</f>
        <v>OK</v>
      </c>
    </row>
    <row r="16" customFormat="false" ht="15" hidden="false" customHeight="false" outlineLevel="0" collapsed="false">
      <c r="A16" s="16" t="s">
        <v>208</v>
      </c>
      <c r="B16" s="33" t="n">
        <v>312</v>
      </c>
      <c r="C16" s="66" t="n">
        <f aca="false">'3. IRR'!B21</f>
        <v>312</v>
      </c>
      <c r="D16" s="31" t="n">
        <f aca="false">IFERROR(C16-B16,"")</f>
        <v>0</v>
      </c>
      <c r="E16" s="17" t="str">
        <f aca="false">IFERROR(IF(ABS(C16-B16)&lt;=0.5,"OK","VARIANCE"),"")</f>
        <v>OK</v>
      </c>
    </row>
    <row r="17" customFormat="false" ht="15" hidden="false" customHeight="false" outlineLevel="0" collapsed="false">
      <c r="A17" s="16" t="s">
        <v>108</v>
      </c>
      <c r="B17" s="42" t="n">
        <v>194.4</v>
      </c>
      <c r="C17" s="67" t="n">
        <f aca="false">'5. PME'!C17</f>
        <v>194.410636851006</v>
      </c>
      <c r="D17" s="44" t="n">
        <f aca="false">IFERROR(C17-B17,"")</f>
        <v>0.0106368510056427</v>
      </c>
      <c r="E17" s="17" t="str">
        <f aca="false">IFERROR(IF(ABS(C17-B17)&lt;=0.05,"OK","VARIANCE"),"")</f>
        <v>OK</v>
      </c>
    </row>
    <row r="18" customFormat="false" ht="15" hidden="false" customHeight="false" outlineLevel="0" collapsed="false">
      <c r="A18" s="16" t="s">
        <v>209</v>
      </c>
      <c r="B18" s="30" t="n">
        <v>0.0767</v>
      </c>
      <c r="C18" s="37" t="n">
        <f aca="false">'5. PME'!C21</f>
        <v>0.0766635304315575</v>
      </c>
      <c r="D18" s="25" t="n">
        <f aca="false">IFERROR(C18-B18,"")</f>
        <v>-3.64695684425126E-005</v>
      </c>
      <c r="E18" s="17" t="str">
        <f aca="false">IFERROR(IF(ABS(C18-B18)&lt;=0.00005,"OK","VARIANCE"),"")</f>
        <v>OK</v>
      </c>
    </row>
    <row r="19" customFormat="false" ht="15" hidden="false" customHeight="false" outlineLevel="0" collapsed="false">
      <c r="A19" s="16" t="s">
        <v>210</v>
      </c>
      <c r="B19" s="8" t="n">
        <v>464</v>
      </c>
      <c r="C19" s="18" t="n">
        <f aca="false">'5. PME'!D24</f>
        <v>464.015640313026</v>
      </c>
      <c r="D19" s="9" t="n">
        <f aca="false">IFERROR(C19-B19,"")</f>
        <v>0.0156403130259264</v>
      </c>
      <c r="E19" s="17" t="str">
        <f aca="false">IFERROR(IF(ABS(C19-B19)&lt;=0.05,"OK","VARIANCE"),"")</f>
        <v>OK</v>
      </c>
    </row>
    <row r="20" customFormat="false" ht="15" hidden="false" customHeight="false" outlineLevel="0" collapsed="false">
      <c r="A20" s="16" t="s">
        <v>211</v>
      </c>
      <c r="B20" s="8" t="n">
        <v>489.8</v>
      </c>
      <c r="C20" s="18" t="n">
        <f aca="false">'5. PME'!D25</f>
        <v>489.7788536</v>
      </c>
      <c r="D20" s="9" t="n">
        <f aca="false">IFERROR(C20-B20,"")</f>
        <v>-0.0211463999999637</v>
      </c>
      <c r="E20" s="17" t="str">
        <f aca="false">IFERROR(IF(ABS(C20-B20)&lt;=0.05,"OK","VARIANCE"),"")</f>
        <v>OK</v>
      </c>
    </row>
    <row r="21" customFormat="false" ht="15" hidden="false" customHeight="false" outlineLevel="0" collapsed="false">
      <c r="A21" s="16" t="s">
        <v>212</v>
      </c>
      <c r="B21" s="8" t="n">
        <v>574.8</v>
      </c>
      <c r="C21" s="18" t="n">
        <f aca="false">'5. PME'!D27</f>
        <v>574.7788536</v>
      </c>
      <c r="D21" s="9" t="n">
        <f aca="false">IFERROR(C21-B21,"")</f>
        <v>-0.0211463999999069</v>
      </c>
      <c r="E21" s="17" t="str">
        <f aca="false">IFERROR(IF(ABS(C21-B21)&lt;=0.05,"OK","VARIANCE"),"")</f>
        <v>OK</v>
      </c>
    </row>
    <row r="22" customFormat="false" ht="15" hidden="false" customHeight="false" outlineLevel="0" collapsed="false">
      <c r="A22" s="16" t="s">
        <v>213</v>
      </c>
      <c r="B22" s="68" t="n">
        <v>1.239</v>
      </c>
      <c r="C22" s="69" t="n">
        <f aca="false">'5. PME'!D28</f>
        <v>1.23870577554725</v>
      </c>
      <c r="D22" s="21" t="n">
        <f aca="false">IFERROR(C22-B22,"")</f>
        <v>-0.000294224452751291</v>
      </c>
      <c r="E22" s="17" t="str">
        <f aca="false">IFERROR(IF(ABS(C22-B22)&lt;=0.0005,"OK","VARIANCE"),"")</f>
        <v>OK</v>
      </c>
    </row>
    <row r="23" customFormat="false" ht="15" hidden="false" customHeight="false" outlineLevel="0" collapsed="false">
      <c r="A23" s="16" t="s">
        <v>214</v>
      </c>
      <c r="B23" s="8" t="n">
        <v>-25.8</v>
      </c>
      <c r="C23" s="18" t="n">
        <f aca="false">'5. PME'!D44</f>
        <v>-25.7632132869743</v>
      </c>
      <c r="D23" s="9" t="n">
        <f aca="false">IFERROR(C23-B23,"")</f>
        <v>0.0367867130257373</v>
      </c>
      <c r="E23" s="17" t="str">
        <f aca="false">IFERROR(IF(ABS(C23-B23)&lt;=0.05,"OK","VARIANCE"),"")</f>
        <v>OK</v>
      </c>
    </row>
    <row r="24" customFormat="false" ht="15" hidden="false" customHeight="false" outlineLevel="0" collapsed="false">
      <c r="A24" s="16" t="s">
        <v>215</v>
      </c>
      <c r="B24" s="70" t="n">
        <v>0.7739</v>
      </c>
      <c r="C24" s="71" t="n">
        <f aca="false">'5. PME'!D50</f>
        <v>0.773850560364466</v>
      </c>
      <c r="D24" s="43" t="n">
        <f aca="false">IFERROR(C24-B24,"")</f>
        <v>-4.94396355337212E-005</v>
      </c>
      <c r="E24" s="17" t="str">
        <f aca="false">IFERROR(IF(ABS(C24-B24)&lt;=0.00005,"OK","VARIANCE"),"")</f>
        <v>OK</v>
      </c>
    </row>
    <row r="25" customFormat="false" ht="15" hidden="false" customHeight="false" outlineLevel="0" collapsed="false">
      <c r="A25" s="16" t="s">
        <v>216</v>
      </c>
      <c r="B25" s="30" t="n">
        <v>0.0705</v>
      </c>
      <c r="C25" s="37" t="n">
        <f aca="false">'5. PME'!D63</f>
        <v>0.0705410758380066</v>
      </c>
      <c r="D25" s="25" t="n">
        <f aca="false">IFERROR(C25-B25,"")</f>
        <v>4.10758380065546E-005</v>
      </c>
      <c r="E25" s="17" t="str">
        <f aca="false">IFERROR(IF(ABS(C25-B25)&lt;=0.00005,"OK","VARIANCE"),"")</f>
        <v>OK</v>
      </c>
    </row>
    <row r="26" customFormat="false" ht="15" hidden="false" customHeight="false" outlineLevel="0" collapsed="false">
      <c r="A26" s="16" t="s">
        <v>217</v>
      </c>
      <c r="B26" s="30" t="n">
        <v>0.038</v>
      </c>
      <c r="C26" s="37" t="n">
        <f aca="false">'5. PME'!D68</f>
        <v>0.0380397478166134</v>
      </c>
      <c r="D26" s="25" t="n">
        <f aca="false">IFERROR(C26-B26,"")</f>
        <v>3.9747816613353E-005</v>
      </c>
      <c r="E26" s="17" t="str">
        <f aca="false">IFERROR(IF(ABS(C26-B26)&lt;=0.00005,"OK","VARIANCE"),"")</f>
        <v>OK</v>
      </c>
    </row>
    <row r="27" customFormat="false" ht="15" hidden="false" customHeight="false" outlineLevel="0" collapsed="false">
      <c r="A27" s="16" t="s">
        <v>218</v>
      </c>
      <c r="B27" s="30" t="n">
        <v>0.0375</v>
      </c>
      <c r="C27" s="37" t="n">
        <f aca="false">'5. PME'!D69</f>
        <v>0.0374868062132634</v>
      </c>
      <c r="D27" s="25" t="n">
        <f aca="false">IFERROR(C27-B27,"")</f>
        <v>-1.3193786736608E-005</v>
      </c>
      <c r="E27" s="17" t="str">
        <f aca="false">IFERROR(IF(ABS(C27-B27)&lt;=0.00005,"OK","VARIANCE"),"")</f>
        <v>OK</v>
      </c>
    </row>
    <row r="28" customFormat="false" ht="15" hidden="false" customHeight="false" outlineLevel="0" collapsed="false">
      <c r="A28" s="16" t="s">
        <v>219</v>
      </c>
      <c r="B28" s="30" t="n">
        <v>0.1005</v>
      </c>
      <c r="C28" s="37" t="n">
        <f aca="false">'5. PME'!D81</f>
        <v>0.100541075838007</v>
      </c>
      <c r="D28" s="25" t="n">
        <f aca="false">IFERROR(C28-B28,"")</f>
        <v>4.10758380065407E-005</v>
      </c>
      <c r="E28" s="17" t="str">
        <f aca="false">IFERROR(IF(ABS(C28-B28)&lt;=0.00005,"OK","VARIANCE"),"")</f>
        <v>OK</v>
      </c>
    </row>
    <row r="29" customFormat="false" ht="15" hidden="false" customHeight="false" outlineLevel="0" collapsed="false">
      <c r="A29" s="16" t="s">
        <v>220</v>
      </c>
      <c r="B29" s="33" t="n">
        <v>102</v>
      </c>
      <c r="C29" s="66" t="n">
        <f aca="false">'5. PME'!D82</f>
        <v>101</v>
      </c>
      <c r="D29" s="31" t="n">
        <f aca="false">IFERROR(C29-B29,"")</f>
        <v>-1</v>
      </c>
      <c r="E29" s="17" t="str">
        <f aca="false">IFERROR(IF(ABS(C29-B29)&lt;=2,"OK","VARIANCE"),"")</f>
        <v>OK</v>
      </c>
    </row>
    <row r="30" customFormat="false" ht="15" hidden="false" customHeight="false" outlineLevel="0" collapsed="false">
      <c r="A30" s="16" t="s">
        <v>221</v>
      </c>
      <c r="B30" s="8" t="n">
        <v>38.49</v>
      </c>
      <c r="C30" s="18" t="n">
        <f aca="false">'6. Gross to Net'!D26</f>
        <v>38.4875</v>
      </c>
      <c r="D30" s="9" t="n">
        <f aca="false">IFERROR(C30-B30,"")</f>
        <v>-0.00249999999999773</v>
      </c>
      <c r="E30" s="17" t="str">
        <f aca="false">IFERROR(IF(ABS(C30-B30)&lt;=0.005,"OK","VARIANCE"),"")</f>
        <v>OK</v>
      </c>
    </row>
    <row r="31" customFormat="false" ht="15" hidden="false" customHeight="false" outlineLevel="0" collapsed="false">
      <c r="A31" s="16" t="s">
        <v>222</v>
      </c>
      <c r="B31" s="30" t="n">
        <v>0.1283</v>
      </c>
      <c r="C31" s="37" t="n">
        <f aca="false">'6. Gross to Net'!D27</f>
        <v>0.128291666666667</v>
      </c>
      <c r="D31" s="25" t="n">
        <f aca="false">IFERROR(C31-B31,"")</f>
        <v>-8.33333333330466E-006</v>
      </c>
      <c r="E31" s="17" t="str">
        <f aca="false">IFERROR(IF(ABS(C31-B31)&lt;=0.00005,"OK","VARIANCE"),"")</f>
        <v>OK</v>
      </c>
    </row>
    <row r="32" customFormat="false" ht="15" hidden="false" customHeight="false" outlineLevel="0" collapsed="false">
      <c r="A32" s="16" t="s">
        <v>166</v>
      </c>
      <c r="B32" s="8" t="n">
        <v>9.9</v>
      </c>
      <c r="C32" s="18" t="n">
        <f aca="false">'6. Gross to Net'!D28</f>
        <v>9.9</v>
      </c>
      <c r="D32" s="9" t="n">
        <f aca="false">IFERROR(C32-B32,"")</f>
        <v>0</v>
      </c>
      <c r="E32" s="17" t="str">
        <f aca="false">IFERROR(IF(ABS(C32-B32)&lt;=0.005,"OK","VARIANCE"),"")</f>
        <v>OK</v>
      </c>
    </row>
    <row r="33" customFormat="false" ht="15" hidden="false" customHeight="false" outlineLevel="0" collapsed="false">
      <c r="A33" s="16" t="s">
        <v>174</v>
      </c>
      <c r="B33" s="30" t="n">
        <v>0.1429</v>
      </c>
      <c r="C33" s="37" t="n">
        <f aca="false">'6. Gross to Net'!B46</f>
        <v>0.142531393088175</v>
      </c>
      <c r="D33" s="25" t="n">
        <f aca="false">IFERROR(C33-B33,"")</f>
        <v>-0.000368606911825303</v>
      </c>
      <c r="E33" s="17" t="str">
        <f aca="false">IFERROR(IF(ABS(C33-B33)&lt;=0.0005,"OK","VARIANCE"),"")</f>
        <v>OK</v>
      </c>
    </row>
    <row r="34" customFormat="false" ht="15" hidden="false" customHeight="false" outlineLevel="0" collapsed="false">
      <c r="A34" s="16" t="s">
        <v>223</v>
      </c>
      <c r="B34" s="33" t="n">
        <v>322</v>
      </c>
      <c r="C34" s="66" t="n">
        <f aca="false">'6. Gross to Net'!B48</f>
        <v>319</v>
      </c>
      <c r="D34" s="31" t="n">
        <f aca="false">IFERROR(C34-B34,"")</f>
        <v>-3</v>
      </c>
      <c r="E34" s="17" t="str">
        <f aca="false">IFERROR(IF(ABS(C34-B34)&lt;=5,"OK","VARIANCE"),"")</f>
        <v>OK</v>
      </c>
    </row>
    <row r="35" customFormat="false" ht="15" hidden="false" customHeight="false" outlineLevel="0" collapsed="false">
      <c r="A35" s="16" t="s">
        <v>178</v>
      </c>
      <c r="B35" s="30" t="n">
        <v>0.106</v>
      </c>
      <c r="C35" s="37" t="n">
        <f aca="false">'6. Gross to Net'!B50</f>
        <v>0.106172241691284</v>
      </c>
      <c r="D35" s="25" t="n">
        <f aca="false">IFERROR(C35-B35,"")</f>
        <v>0.000172241691284367</v>
      </c>
      <c r="E35" s="17" t="str">
        <f aca="false">IFERROR(IF(ABS(C35-B35)&lt;=0.0005,"OK","VARIANCE"),"")</f>
        <v>OK</v>
      </c>
    </row>
    <row r="36" customFormat="false" ht="15" hidden="false" customHeight="false" outlineLevel="0" collapsed="false">
      <c r="A36" s="16" t="s">
        <v>224</v>
      </c>
      <c r="B36" s="33" t="n">
        <v>55</v>
      </c>
      <c r="C36" s="66" t="n">
        <f aca="false">'6. Gross to Net'!B51</f>
        <v>56</v>
      </c>
      <c r="D36" s="31" t="n">
        <f aca="false">IFERROR(C36-B36,"")</f>
        <v>1</v>
      </c>
      <c r="E36" s="17" t="str">
        <f aca="false">IFERROR(IF(ABS(C36-B36)&lt;=5,"OK","VARIANCE"),"")</f>
        <v>OK</v>
      </c>
    </row>
    <row r="37" customFormat="false" ht="15" hidden="false" customHeight="false" outlineLevel="0" collapsed="false">
      <c r="A37" s="16" t="s">
        <v>225</v>
      </c>
      <c r="B37" s="30" t="n">
        <v>0.1237</v>
      </c>
      <c r="C37" s="37" t="n">
        <f aca="false">'4. Facility Test'!C26</f>
        <v>0.124960530016742</v>
      </c>
      <c r="D37" s="25" t="n">
        <f aca="false">IFERROR(C37-B37,"")</f>
        <v>0.00126053001674205</v>
      </c>
      <c r="E37" s="17" t="str">
        <f aca="false">IFERROR(IF(ABS(C37-B37)&lt;=0.0005,"OK","VARIANCE"),"")</f>
        <v>VARIANCE</v>
      </c>
    </row>
    <row r="38" customFormat="false" ht="15" hidden="false" customHeight="false" outlineLevel="0" collapsed="false">
      <c r="A38" s="16" t="s">
        <v>226</v>
      </c>
      <c r="B38" s="20" t="n">
        <v>1.788</v>
      </c>
      <c r="C38" s="38" t="n">
        <f aca="false">'4. Facility Test'!C27</f>
        <v>1.75438596491228</v>
      </c>
      <c r="D38" s="22" t="n">
        <f aca="false">IFERROR(C38-B38,"")</f>
        <v>-0.0336140350877192</v>
      </c>
      <c r="E38" s="17" t="str">
        <f aca="false">IFERROR(IF(ABS(C38-B38)&lt;=0.005,"OK","VARIANCE"),"")</f>
        <v>VARIANCE</v>
      </c>
    </row>
    <row r="40" customFormat="false" ht="15" hidden="false" customHeight="false" outlineLevel="0" collapsed="false">
      <c r="A40" s="10" t="s">
        <v>227</v>
      </c>
      <c r="B40" s="72" t="n">
        <f aca="false">COUNTIF(E6:E38,"OK")</f>
        <v>31</v>
      </c>
      <c r="C40" s="72" t="n">
        <f aca="false">COUNTA(E6:E38)</f>
        <v>33</v>
      </c>
    </row>
    <row r="41" customFormat="false" ht="15" hidden="false" customHeight="false" outlineLevel="0" collapsed="false">
      <c r="A41" s="10" t="s">
        <v>228</v>
      </c>
      <c r="B41" s="72" t="n">
        <f aca="false">COUNTIF(E6:E38,"VARIANCE")</f>
        <v>2</v>
      </c>
    </row>
    <row r="43" customFormat="false" ht="15" hidden="false" customHeight="true" outlineLevel="0" collapsed="false">
      <c r="A43" s="40" t="s">
        <v>229</v>
      </c>
      <c r="B43" s="40"/>
      <c r="C43" s="40"/>
      <c r="D43" s="40"/>
      <c r="E43" s="40"/>
    </row>
    <row r="44" customFormat="false" ht="15" hidden="false" customHeight="false" outlineLevel="0" collapsed="false">
      <c r="A44" s="40"/>
      <c r="B44" s="40"/>
      <c r="C44" s="40"/>
      <c r="D44" s="40"/>
      <c r="E44" s="40"/>
    </row>
    <row r="45" customFormat="false" ht="15" hidden="false" customHeight="false" outlineLevel="0" collapsed="false">
      <c r="A45" s="40"/>
      <c r="B45" s="40"/>
      <c r="C45" s="40"/>
      <c r="D45" s="40"/>
      <c r="E45" s="40"/>
    </row>
    <row r="46" customFormat="false" ht="15" hidden="false" customHeight="false" outlineLevel="0" collapsed="false">
      <c r="A46" s="40"/>
      <c r="B46" s="40"/>
      <c r="C46" s="40"/>
      <c r="D46" s="40"/>
      <c r="E46" s="40"/>
    </row>
  </sheetData>
  <mergeCells count="1">
    <mergeCell ref="A43:E4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2026-08-12T15:47:54Z</dcterms:created>
  <dc:creator>openpyxl</dc:creator>
  <dc:description/>
  <dc:language>en-US</dc:language>
  <cp:lastModifiedBy/>
  <dcterms:modified xsi:type="dcterms:W3CDTF">2026-08-12T15:47:54Z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