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Example 1" sheetId="2" state="visible" r:id="rId4"/>
    <sheet name="Example 2" sheetId="3" state="visible" r:id="rId5"/>
    <sheet name="European vs American" sheetId="4" state="visible" r:id="rId6"/>
    <sheet name="Multi-Tier" sheetId="5" state="visible" r:id="rId7"/>
    <sheet name="Time-Weighted Pref" sheetId="6" state="visible" r:id="rId8"/>
    <sheet name="Checks"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<sst xmlns="http://schemas.openxmlformats.org/spreadsheetml/2006/main" count="332" uniqueCount="292">
  <si>
    <t xml:space="preserve">Private Equity Real Estate — Waterfalls, Promote and Preferred Return</t>
  </si>
  <si>
    <t xml:space="preserve">Companion workbook to Chapters 11 and 12 of "Private Equity Real Estate" by Julian R. Sterling. Free, ungated, and yours to reuse.</t>
  </si>
  <si>
    <t xml:space="preserve">Sheets</t>
  </si>
  <si>
    <t xml:space="preserve">Example 1</t>
  </si>
  <si>
    <t xml:space="preserve">      The $500M / $1B waterfall worked in 12.1, tier by tier, with every printed figure reproduced.</t>
  </si>
  <si>
    <t xml:space="preserve">Example 2</t>
  </si>
  <si>
    <t xml:space="preserve">      The ten-investment value-add fund at the end of the chapter: seven winners at 1.8x, three losers at 0.7x, and a catch-up that only just clears.</t>
  </si>
  <si>
    <t xml:space="preserve">European vs American</t>
  </si>
  <si>
    <t xml:space="preserve">      The same fund under a fund-level and a deal-by-deal calculation, and the clawback the difference creates. The chapter says clawbacks are "difficult to enforce" — this sheet sizes what would have to be enforced.</t>
  </si>
  <si>
    <t xml:space="preserve">Multi-Tier</t>
  </si>
  <si>
    <t xml:space="preserve">      The 8% / 15% / above structure the chapter describes: 80/20, then 70/30, then 60/40.</t>
  </si>
  <si>
    <t xml:space="preserve">Time-Weighted Pref</t>
  </si>
  <si>
    <t xml:space="preserve">      The three-tranche example in the chapter — $30M in year 2, $40M in year 4, $30M in year 5 — with annual and quarterly compounding side by side, because the chapter says quarterly is now more common.</t>
  </si>
  <si>
    <t xml:space="preserve">Checks</t>
  </si>
  <si>
    <t xml:space="preserve">      Every figure the chapter prints, against what this workbook computes.</t>
  </si>
  <si>
    <t xml:space="preserve">Blue on yellow is an input. Black is a formula. Green links to another sheet. Nothing is hard-coded to force the book's answer — clear the inputs and the model empties out instead of lying to you.</t>
  </si>
  <si>
    <t xml:space="preserve">Source: Private Equity Real Estate, Chapters 11 and 12. All figures in US dollars.</t>
  </si>
  <si>
    <t xml:space="preserve">The basic European waterfall — the worked example in Chapter 12</t>
  </si>
  <si>
    <t xml:space="preserve">"Suppose a fund's LPs collectively invest $500 million over five years, and the fund returns $1 billion of total distributions over its life." Four tiers: return of capital, preferred return, GP catch-up, 80/20 split.</t>
  </si>
  <si>
    <t xml:space="preserve">Inputs</t>
  </si>
  <si>
    <t xml:space="preserve">Value</t>
  </si>
  <si>
    <t xml:space="preserve">Source</t>
  </si>
  <si>
    <t xml:space="preserve">LP invested capital</t>
  </si>
  <si>
    <t xml:space="preserve">12 — "LPs collectively invest $500 million"</t>
  </si>
  <si>
    <t xml:space="preserve">Total distributions over fund life</t>
  </si>
  <si>
    <t xml:space="preserve">12 — "the fund returns $1 billion"</t>
  </si>
  <si>
    <t xml:space="preserve">Preferred return accrued (time-weighted)</t>
  </si>
  <si>
    <t xml:space="preserve">12 — "assume the time-weighted 8% pref accrued is $200 million"</t>
  </si>
  <si>
    <t xml:space="preserve">Promote</t>
  </si>
  <si>
    <t xml:space="preserve">12 — 20% promote</t>
  </si>
  <si>
    <t xml:space="preserve">Catch-up rate</t>
  </si>
  <si>
    <t xml:space="preserve">12 — 100% catch-up</t>
  </si>
  <si>
    <t xml:space="preserve">The four tiers</t>
  </si>
  <si>
    <t xml:space="preserve">Tier</t>
  </si>
  <si>
    <t xml:space="preserve">To LP</t>
  </si>
  <si>
    <t xml:space="preserve">To GP</t>
  </si>
  <si>
    <t xml:space="preserve">Cash remaining</t>
  </si>
  <si>
    <t xml:space="preserve">What the chapter says</t>
  </si>
  <si>
    <t xml:space="preserve">Distributions available</t>
  </si>
  <si>
    <t xml:space="preserve">Tier 1 — return of capital</t>
  </si>
  <si>
    <t xml:space="preserve">"first $500 million goes to LPs". LP cumulative: $500M.</t>
  </si>
  <si>
    <t xml:space="preserve">Tier 2 — preferred return</t>
  </si>
  <si>
    <t xml:space="preserve">"Next $200 million to LPs. LPs cumulative: $700M."</t>
  </si>
  <si>
    <t xml:space="preserve">Tier 3 — GP catch-up</t>
  </si>
  <si>
    <t xml:space="preserve">"total profits would be $250M ($200M / 0.80), of which GP would have $50M". The catch-up brings the GP to 20% of profits counting the pref.</t>
  </si>
  <si>
    <t xml:space="preserve">Tier 4 — 80/20 split</t>
  </si>
  <si>
    <t xml:space="preserve">"$200M to LPs, $50M to GP".</t>
  </si>
  <si>
    <t xml:space="preserve">Total</t>
  </si>
  <si>
    <t xml:space="preserve">The result</t>
  </si>
  <si>
    <t xml:space="preserve">Note</t>
  </si>
  <si>
    <t xml:space="preserve">Total profit</t>
  </si>
  <si>
    <t xml:space="preserve">Chapter: $500M</t>
  </si>
  <si>
    <t xml:space="preserve">LP total</t>
  </si>
  <si>
    <t xml:space="preserve">Chapter: $900M</t>
  </si>
  <si>
    <t xml:space="preserve">GP total</t>
  </si>
  <si>
    <t xml:space="preserve">Chapter: $100M</t>
  </si>
  <si>
    <t xml:space="preserve">LP + GP</t>
  </si>
  <si>
    <t xml:space="preserve">Chapter: $1,000M</t>
  </si>
  <si>
    <t xml:space="preserve">GP's share of profits</t>
  </si>
  <si>
    <t xml:space="preserve">Chapter: "$100M / $500M = 20%"</t>
  </si>
  <si>
    <t xml:space="preserve">LP net multiple</t>
  </si>
  <si>
    <t xml:space="preserve">A note on the printed arithmetic</t>
  </si>
  <si>
    <t xml:space="preserve">Step 4 of the printed example reads "remaining $750M – $200M – $50M = $250M". The residual is right — $1,000M less $500M of capital, $200M of pref and $50M of catch-up does leave $250M — but the line as set does not compute: the first figure should be $500M (what is left after return of capital), and $750M – $200M – $50M is $500M, not $250M. The final tally in the book is unaffected and correct. This workbook computes each tier from the one above it, so the residual is derived rather than asserted.</t>
  </si>
  <si>
    <t xml:space="preserve">The ten-investment value-add fund</t>
  </si>
  <si>
    <t xml:space="preserve">"A $500 million value-add fund... ten investments of roughly $50 million each, of which seven are profitable (returning 1.8x equity multiple on average over four-year holds) and three are unprofitable (returning 0.7x equity multiple over five-year holds)." The interesting part is the ending: the catch-up only just clears, and the LPs receive $2M of residual on a $235M profit.</t>
  </si>
  <si>
    <t xml:space="preserve">Number of investments</t>
  </si>
  <si>
    <t xml:space="preserve">Equity per investment</t>
  </si>
  <si>
    <t xml:space="preserve">"ten investments of roughly $50 million each"</t>
  </si>
  <si>
    <t xml:space="preserve">Profitable investments</t>
  </si>
  <si>
    <t xml:space="preserve">"seven are profitable"</t>
  </si>
  <si>
    <t xml:space="preserve">Multiple on the winners</t>
  </si>
  <si>
    <t xml:space="preserve">"1.8x equity multiple on average"</t>
  </si>
  <si>
    <t xml:space="preserve">Unprofitable investments</t>
  </si>
  <si>
    <t xml:space="preserve">"three are unprofitable"</t>
  </si>
  <si>
    <t xml:space="preserve">Multiple on the losers</t>
  </si>
  <si>
    <t xml:space="preserve">"0.7x equity multiple"</t>
  </si>
  <si>
    <t xml:space="preserve">Preferred return accrued</t>
  </si>
  <si>
    <t xml:space="preserve">"roughly $186M" — the chapter states this as approximate</t>
  </si>
  <si>
    <t xml:space="preserve">The arithmetic</t>
  </si>
  <si>
    <t xml:space="preserve">What the chapter prints</t>
  </si>
  <si>
    <t xml:space="preserve">Total invested</t>
  </si>
  <si>
    <t xml:space="preserve">$500M</t>
  </si>
  <si>
    <t xml:space="preserve">Gross multiple across the fund</t>
  </si>
  <si>
    <t xml:space="preserve">(7 x 1.8 + 3 x 0.7) / 10</t>
  </si>
  <si>
    <t xml:space="preserve">Total proceeds</t>
  </si>
  <si>
    <t xml:space="preserve">"$50M x (12.6 + 2.1) = $735M"</t>
  </si>
  <si>
    <t xml:space="preserve">"$235M"</t>
  </si>
  <si>
    <t xml:space="preserve">Return of capital to LP</t>
  </si>
  <si>
    <t xml:space="preserve">Preferred return to LP</t>
  </si>
  <si>
    <t xml:space="preserve">$186M</t>
  </si>
  <si>
    <t xml:space="preserve">Profit remaining after the pref</t>
  </si>
  <si>
    <t xml:space="preserve">"$235M – $186M = $49M"</t>
  </si>
  <si>
    <t xml:space="preserve">GP catch-up entitlement</t>
  </si>
  <si>
    <t xml:space="preserve">"$235M x 20% = $47M"</t>
  </si>
  <si>
    <t xml:space="preserve">GP actually receives</t>
  </si>
  <si>
    <t xml:space="preserve">Capped by the cash left. Here the cap does not bind — but only just.</t>
  </si>
  <si>
    <t xml:space="preserve">LP residual after the catch-up</t>
  </si>
  <si>
    <t xml:space="preserve">"LPs receive $49M – $47M = $2M"</t>
  </si>
  <si>
    <t xml:space="preserve">Final tally</t>
  </si>
  <si>
    <t xml:space="preserve">Chapter</t>
  </si>
  <si>
    <t xml:space="preserve">$688M</t>
  </si>
  <si>
    <t xml:space="preserve">$47M</t>
  </si>
  <si>
    <t xml:space="preserve">Must equal $735M of proceeds</t>
  </si>
  <si>
    <t xml:space="preserve">GP's share of profit</t>
  </si>
  <si>
    <t xml:space="preserve">"exactly 20%"</t>
  </si>
  <si>
    <t xml:space="preserve">Headroom before the catch-up would be capped</t>
  </si>
  <si>
    <t xml:space="preserve">"the 100% catch-up was just barely cleared"</t>
  </si>
  <si>
    <t xml:space="preserve">Why this example is the one worth playing with</t>
  </si>
  <si>
    <t xml:space="preserve">The chapter notes in passing that the catch-up "was just barely cleared". Change the winners from 1.8x to 1.7x and the GP no longer gets its full 20% — the catch-up is capped by the cash and the LPs keep nothing of the residual. Change it to 1.9x and a fourth tier appears. The hurdle is, as the chapter puts it, "a binary threshold", and this is the sheet where you can feel where the edge is.</t>
  </si>
  <si>
    <t xml:space="preserve">European against American, on the same ten deals</t>
  </si>
  <si>
    <t xml:space="preserve">The chapter says the American waterfall lets the GP "earn carry on a successful deal even if the overall fund has not yet returned all LP capital", that clawback is meant to fix this, and that "in practice, clawbacks are difficult to enforce". This sheet takes the ten deals from Example 2 and prices the difference — which is the amount that would actually have to be clawed back.</t>
  </si>
  <si>
    <t xml:space="preserve">Deal</t>
  </si>
  <si>
    <t xml:space="preserve">Equity</t>
  </si>
  <si>
    <t xml:space="preserve">Hold (years)</t>
  </si>
  <si>
    <t xml:space="preserve">Proceeds</t>
  </si>
  <si>
    <t xml:space="preserve">Deal profit</t>
  </si>
  <si>
    <t xml:space="preserve">Pref accrued</t>
  </si>
  <si>
    <t xml:space="preserve">GP catch-up</t>
  </si>
  <si>
    <t xml:space="preserve">GP share of residual</t>
  </si>
  <si>
    <t xml:space="preserve">GP carry on the deal</t>
  </si>
  <si>
    <t xml:space="preserve">Deal 1</t>
  </si>
  <si>
    <t xml:space="preserve">Deal 2</t>
  </si>
  <si>
    <t xml:space="preserve">Deal 3</t>
  </si>
  <si>
    <t xml:space="preserve">Deal 4</t>
  </si>
  <si>
    <t xml:space="preserve">Deal 5</t>
  </si>
  <si>
    <t xml:space="preserve">Deal 6</t>
  </si>
  <si>
    <t xml:space="preserve">Deal 7</t>
  </si>
  <si>
    <t xml:space="preserve">Deal 8</t>
  </si>
  <si>
    <t xml:space="preserve">Deal 9</t>
  </si>
  <si>
    <t xml:space="preserve">Deal 10</t>
  </si>
  <si>
    <t xml:space="preserve">The comparison</t>
  </si>
  <si>
    <t xml:space="preserve">Amount</t>
  </si>
  <si>
    <t xml:space="preserve">GP carry — European (fund level)</t>
  </si>
  <si>
    <t xml:space="preserve">From Example 2: the fund-level calculation.</t>
  </si>
  <si>
    <t xml:space="preserve">GP carry — American (deal by deal)</t>
  </si>
  <si>
    <t xml:space="preserve">Carry crystallised on the seven winners as they exited.</t>
  </si>
  <si>
    <t xml:space="preserve">Clawback obligation at fund end</t>
  </si>
  <si>
    <t xml:space="preserve">The chapter: "the difference is owed back to the LPs".</t>
  </si>
  <si>
    <t xml:space="preserve">Clawback as a share of GP carry received</t>
  </si>
  <si>
    <t xml:space="preserve">How much of what the GP already banked has to come back.</t>
  </si>
  <si>
    <t xml:space="preserve">LP shortfall if the clawback fails</t>
  </si>
  <si>
    <t xml:space="preserve">"GP partners may have spent the carry, retired, or otherwise become judgment-proof."</t>
  </si>
  <si>
    <t xml:space="preserve">Years between first carry and fund end</t>
  </si>
  <si>
    <t xml:space="preserve">The enforcement window the chapter is worried about.</t>
  </si>
  <si>
    <t xml:space="preserve">What the LP-side protections are actually worth</t>
  </si>
  <si>
    <t xml:space="preserve">Protection</t>
  </si>
  <si>
    <t xml:space="preserve">Covers</t>
  </si>
  <si>
    <t xml:space="preserve">Residual exposure</t>
  </si>
  <si>
    <t xml:space="preserve">Escrow of a share of each carry payment</t>
  </si>
  <si>
    <t xml:space="preserve">Cash held back at each distribution. The most reliable of the three because it does not depend on anyone remaining solvent.</t>
  </si>
  <si>
    <t xml:space="preserve">Personal guarantees with net worth tests</t>
  </si>
  <si>
    <t xml:space="preserve">Only as good as the net worth test, and only while the individuals are reachable.</t>
  </si>
  <si>
    <t xml:space="preserve">Interim true-ups at each distribution</t>
  </si>
  <si>
    <t xml:space="preserve">Catches the drift early. The chapter lists this as one of the three things LP legal teams look for.</t>
  </si>
  <si>
    <t xml:space="preserve">All three together</t>
  </si>
  <si>
    <t xml:space="preserve">Assumes the three fail independently, which flatters them. Adjust the coverage percentages to your own documents.</t>
  </si>
  <si>
    <t xml:space="preserve">Multi-tier promote</t>
  </si>
  <si>
    <t xml:space="preserve">The structure the chapter describes: 8% preferred return then 80/20, an additional band to a 15% IRR at 70/30, and everything above 15% at 60/40. "Most common in opportunistic funds and emerging-manager structures where GPs are willing to give up baseline economics for strong upside."</t>
  </si>
  <si>
    <t xml:space="preserve">Fund</t>
  </si>
  <si>
    <t xml:space="preserve">Total distributions</t>
  </si>
  <si>
    <t xml:space="preserve">Same fund as Example 1, for comparability.</t>
  </si>
  <si>
    <t xml:space="preserve">Hold (years, for the IRR hurdles)</t>
  </si>
  <si>
    <t xml:space="preserve">Single contribution, single distribution — so the IRR is the compound rate over the hold.</t>
  </si>
  <si>
    <t xml:space="preserve">Tier 1 hurdle — preferred return</t>
  </si>
  <si>
    <t xml:space="preserve">Tier 2 hurdle — IRR</t>
  </si>
  <si>
    <t xml:space="preserve">Split above tier 1</t>
  </si>
  <si>
    <t xml:space="preserve">80/20</t>
  </si>
  <si>
    <t xml:space="preserve">Split above tier 2</t>
  </si>
  <si>
    <t xml:space="preserve">70/30</t>
  </si>
  <si>
    <t xml:space="preserve">Split above tier 3</t>
  </si>
  <si>
    <t xml:space="preserve">60/40</t>
  </si>
  <si>
    <t xml:space="preserve">Width of the 70/30 band</t>
  </si>
  <si>
    <t xml:space="preserve">The chapter names the splits but not the width of the middle band. Set it to your own document term.</t>
  </si>
  <si>
    <t xml:space="preserve">Where each band ends</t>
  </si>
  <si>
    <t xml:space="preserve">Band</t>
  </si>
  <si>
    <t xml:space="preserve">LP proceeds at the top of the band</t>
  </si>
  <si>
    <t xml:space="preserve">Cumulative</t>
  </si>
  <si>
    <t xml:space="preserve">How the ceiling is set</t>
  </si>
  <si>
    <t xml:space="preserve">Return of capital</t>
  </si>
  <si>
    <t xml:space="preserve">All capital back first.</t>
  </si>
  <si>
    <t xml:space="preserve">Preferred return at 8%</t>
  </si>
  <si>
    <t xml:space="preserve">Compounded over the hold, per the chapter.</t>
  </si>
  <si>
    <t xml:space="preserve">To a 15% IRR</t>
  </si>
  <si>
    <t xml:space="preserve">The extra LP dollars needed to lift the LP from 8% to 15% compound.</t>
  </si>
  <si>
    <t xml:space="preserve">The split</t>
  </si>
  <si>
    <t xml:space="preserve">Total distributed in the band</t>
  </si>
  <si>
    <t xml:space="preserve">Preferred return</t>
  </si>
  <si>
    <t xml:space="preserve">GP catch-up to the first split</t>
  </si>
  <si>
    <t xml:space="preserve">80/20 band, up to a 15% IRR</t>
  </si>
  <si>
    <t xml:space="preserve">70/30 band</t>
  </si>
  <si>
    <t xml:space="preserve">Width of this band is a modelling choice; set it in the formula or replace the cap with your own document term.</t>
  </si>
  <si>
    <t xml:space="preserve">60/40 band</t>
  </si>
  <si>
    <t xml:space="preserve">Check — LP + GP</t>
  </si>
  <si>
    <t xml:space="preserve">Must equal total distributions.</t>
  </si>
  <si>
    <t xml:space="preserve">Compare with the flat 20% of Example 1.</t>
  </si>
  <si>
    <t xml:space="preserve">Cost to the LP of the extra tiers</t>
  </si>
  <si>
    <t xml:space="preserve">What the GP gains from the 70/30 and 60/40 bands on this outcome.</t>
  </si>
  <si>
    <t xml:space="preserve">LP net IRR</t>
  </si>
  <si>
    <t xml:space="preserve">At $1 billion of distributions the fund compounds at 14.9% over five years — just under the 15% second hurdle. The 70/30 and 60/40 bands therefore never open, and the multi-tier structure pays exactly what a flat 80/20 pays. That is not a bug in the sheet; it is the binary quality of a hurdle. The table below opens the bands.</t>
  </si>
  <si>
    <t xml:space="preserve">Where the tiers actually engage</t>
  </si>
  <si>
    <t xml:space="preserve">LP</t>
  </si>
  <si>
    <t xml:space="preserve">GP</t>
  </si>
  <si>
    <t xml:space="preserve">GP share of profit</t>
  </si>
  <si>
    <t xml:space="preserve">LP IRR</t>
  </si>
  <si>
    <t xml:space="preserve">Highest band reached</t>
  </si>
  <si>
    <t xml:space="preserve">Read the GP share column downward. A flat 80/20 would hold it at 20% forever; the multi-tier structure lifts it as performance improves, which is exactly what the chapter says these structures are for.</t>
  </si>
  <si>
    <t xml:space="preserve">The time-weighted preferred return</t>
  </si>
  <si>
    <t xml:space="preserve">"The 8% preferred return is calculated on invested capital, compounded, with interest accruing from the date capital is actually deployed (not from fund inception)." The chapter's own example: an LP commits $100M; the GP calls $30M in year 2, $40M in year 4, and $30M in year 5. Each tranche accrues from its own call date.</t>
  </si>
  <si>
    <t xml:space="preserve">Commitment</t>
  </si>
  <si>
    <t xml:space="preserve">"an LP commits $100M to a fund"</t>
  </si>
  <si>
    <t xml:space="preserve">Preferred return rate</t>
  </si>
  <si>
    <t xml:space="preserve">8%</t>
  </si>
  <si>
    <t xml:space="preserve">Measurement date (fund year)</t>
  </si>
  <si>
    <t xml:space="preserve">Change this to see the accrual at any point.</t>
  </si>
  <si>
    <t xml:space="preserve">Tranche</t>
  </si>
  <si>
    <t xml:space="preserve">Called</t>
  </si>
  <si>
    <t xml:space="preserve">Call year</t>
  </si>
  <si>
    <t xml:space="preserve">Years accruing</t>
  </si>
  <si>
    <t xml:space="preserve">Annual compounding</t>
  </si>
  <si>
    <t xml:space="preserve">Quarterly compounding</t>
  </si>
  <si>
    <t xml:space="preserve">First deal</t>
  </si>
  <si>
    <t xml:space="preserve">"The GP calls $30M in year 2"</t>
  </si>
  <si>
    <t xml:space="preserve">Second deal</t>
  </si>
  <si>
    <t xml:space="preserve">"$40M in year 4"</t>
  </si>
  <si>
    <t xml:space="preserve">Third deal</t>
  </si>
  <si>
    <t xml:space="preserve">"$30M in year 5"</t>
  </si>
  <si>
    <t xml:space="preserve">Total called</t>
  </si>
  <si>
    <t xml:space="preserve">Unfunded commitment</t>
  </si>
  <si>
    <t xml:space="preserve">No pref accrues on capital that has not been called. That is the whole point of the time-weighted calculation.</t>
  </si>
  <si>
    <t xml:space="preserve">What the compounding convention costs</t>
  </si>
  <si>
    <t xml:space="preserve">Accrued pref — annual compounding</t>
  </si>
  <si>
    <t xml:space="preserve">Accrued pref — quarterly compounding</t>
  </si>
  <si>
    <t xml:space="preserve">"quarterly compounding is more common in modern LPAs".</t>
  </si>
  <si>
    <t xml:space="preserve">Difference</t>
  </si>
  <si>
    <t xml:space="preserve">On this schedule, what the convention alone is worth to the LP.</t>
  </si>
  <si>
    <t xml:space="preserve">Difference as a share of the annual figure</t>
  </si>
  <si>
    <t xml:space="preserve">Naive pref on the full commitment from year 0</t>
  </si>
  <si>
    <t xml:space="preserve">What you would get by ignoring both the call dates and the unfunded balance.</t>
  </si>
  <si>
    <t xml:space="preserve">Overstatement from the naive method</t>
  </si>
  <si>
    <t xml:space="preserve">This is the number that makes the time-weighted calculation worth understanding.</t>
  </si>
  <si>
    <t xml:space="preserve">Every figure Chapter 12 prints, against what this workbook computes. Anything other than OK means the workbook no longer says what the book says.</t>
  </si>
  <si>
    <t xml:space="preserve">Test</t>
  </si>
  <si>
    <t xml:space="preserve">Book</t>
  </si>
  <si>
    <t xml:space="preserve">This workbook</t>
  </si>
  <si>
    <t xml:space="preserve">Status</t>
  </si>
  <si>
    <t xml:space="preserve">Example 1 — return of capital</t>
  </si>
  <si>
    <t xml:space="preserve">12 — Step 1</t>
  </si>
  <si>
    <t xml:space="preserve">Example 1 — preferred return</t>
  </si>
  <si>
    <t xml:space="preserve">12 — Step 2</t>
  </si>
  <si>
    <t xml:space="preserve">Example 1 — GP catch-up</t>
  </si>
  <si>
    <t xml:space="preserve">12 — Step 3, "GP receives $50M next"</t>
  </si>
  <si>
    <t xml:space="preserve">Example 1 — residual to split</t>
  </si>
  <si>
    <t xml:space="preserve">12 — Step 4, "= $250M"</t>
  </si>
  <si>
    <t xml:space="preserve">Example 1 — split to LP</t>
  </si>
  <si>
    <t xml:space="preserve">12 — "$200M to LPs"</t>
  </si>
  <si>
    <t xml:space="preserve">Example 1 — split to GP</t>
  </si>
  <si>
    <t xml:space="preserve">12 — "$50M to GP"</t>
  </si>
  <si>
    <t xml:space="preserve">Example 1 — LP total</t>
  </si>
  <si>
    <t xml:space="preserve">12 — "LPs receive... $900M"</t>
  </si>
  <si>
    <t xml:space="preserve">Example 1 — GP total</t>
  </si>
  <si>
    <t xml:space="preserve">12 — "GP receives... $100M"</t>
  </si>
  <si>
    <t xml:space="preserve">Example 1 — GP's share of profits</t>
  </si>
  <si>
    <t xml:space="preserve">12 — "$100M / $500M = 20%"</t>
  </si>
  <si>
    <t xml:space="preserve">Example 2 — total proceeds</t>
  </si>
  <si>
    <t xml:space="preserve">12 — "$50M x (12.6 + 2.1) = $735M"</t>
  </si>
  <si>
    <t xml:space="preserve">Example 2 — total profit</t>
  </si>
  <si>
    <t xml:space="preserve">12 — "Total profit: $235M"</t>
  </si>
  <si>
    <t xml:space="preserve">Example 2 — profit after the pref</t>
  </si>
  <si>
    <t xml:space="preserve">12 — "$235M – $186M = $49M"</t>
  </si>
  <si>
    <t xml:space="preserve">Example 2 — GP catch-up entitlement</t>
  </si>
  <si>
    <t xml:space="preserve">12 — "$235M x 20% = $47M"</t>
  </si>
  <si>
    <t xml:space="preserve">Example 2 — LP residual</t>
  </si>
  <si>
    <t xml:space="preserve">12 — "LPs receive $49M – $47M = $2M"</t>
  </si>
  <si>
    <t xml:space="preserve">Example 2 — LP total</t>
  </si>
  <si>
    <t xml:space="preserve">12 — "LPs receive... $688M"</t>
  </si>
  <si>
    <t xml:space="preserve">Example 2 — GP total</t>
  </si>
  <si>
    <t xml:space="preserve">12 — "GP receives $47M"</t>
  </si>
  <si>
    <t xml:space="preserve">Example 2 — GP's share of profit</t>
  </si>
  <si>
    <t xml:space="preserve">12 — "exactly 20%"</t>
  </si>
  <si>
    <t xml:space="preserve">Internal consistency</t>
  </si>
  <si>
    <t xml:space="preserve">Expected</t>
  </si>
  <si>
    <t xml:space="preserve">Computed</t>
  </si>
  <si>
    <t xml:space="preserve">Example 1 balances to the distributions</t>
  </si>
  <si>
    <t xml:space="preserve">No cash created or lost.</t>
  </si>
  <si>
    <t xml:space="preserve">Example 2 balances to the proceeds</t>
  </si>
  <si>
    <t xml:space="preserve">American carry exceeds European</t>
  </si>
  <si>
    <t xml:space="preserve">That gap is the clawback.</t>
  </si>
  <si>
    <t xml:space="preserve">Clawback equals the difference</t>
  </si>
  <si>
    <t xml:space="preserve">Multi-tier balances to the distributions</t>
  </si>
  <si>
    <t xml:space="preserve">Quarterly compounding exceeds annual</t>
  </si>
  <si>
    <t xml:space="preserve">It must, at the same nominal rate.</t>
  </si>
  <si>
    <t xml:space="preserve">All checks</t>
  </si>
</sst>
</file>

<file path=xl/styles.xml><?xml version="1.0" encoding="utf-8"?>
<styleSheet xmlns="http://schemas.openxmlformats.org/spreadsheetml/2006/main">
  <numFmts count="7">
    <numFmt numFmtId="164" formatCode="General"/>
    <numFmt numFmtId="165" formatCode="\$#,##0;&quot;($&quot;#,##0\);\-"/>
    <numFmt numFmtId="166" formatCode="0.0%;\(0.0%\);\-"/>
    <numFmt numFmtId="167" formatCode="0.00\x"/>
    <numFmt numFmtId="168" formatCode="0"/>
    <numFmt numFmtId="169" formatCode="0.00%;\(0.00%\);\-"/>
    <numFmt numFmtId="170" formatCode="0.0"/>
  </numFmts>
  <fonts count="11">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sz val="10"/>
      <name val="Arial"/>
      <family val="0"/>
      <charset val="1"/>
    </font>
    <font>
      <b val="true"/>
      <sz val="11"/>
      <color rgb="FF1F3864"/>
      <name val="Arial"/>
      <family val="0"/>
      <charset val="1"/>
    </font>
    <font>
      <b val="true"/>
      <sz val="10"/>
      <name val="Arial"/>
      <family val="0"/>
      <charset val="1"/>
    </font>
    <font>
      <i val="true"/>
      <sz val="9"/>
      <color rgb="FF595959"/>
      <name val="Arial"/>
      <family val="0"/>
      <charset val="1"/>
    </font>
    <font>
      <b val="true"/>
      <sz val="10"/>
      <color rgb="FFFFFFFF"/>
      <name val="Arial"/>
      <family val="0"/>
      <charset val="1"/>
    </font>
    <font>
      <sz val="10"/>
      <color rgb="FF0000FF"/>
      <name val="Arial"/>
      <family val="0"/>
      <charset val="1"/>
    </font>
  </fonts>
  <fills count="5">
    <fill>
      <patternFill patternType="none"/>
    </fill>
    <fill>
      <patternFill patternType="gray125"/>
    </fill>
    <fill>
      <patternFill patternType="solid">
        <fgColor rgb="FF1F3864"/>
        <bgColor rgb="FF333333"/>
      </patternFill>
    </fill>
    <fill>
      <patternFill patternType="solid">
        <fgColor rgb="FFFFFF00"/>
        <bgColor rgb="FFFFFF00"/>
      </patternFill>
    </fill>
    <fill>
      <patternFill patternType="solid">
        <fgColor rgb="FFEDF2F9"/>
        <bgColor rgb="FFFFFFFF"/>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9" fillId="2"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5" fontId="10" fillId="3" borderId="1" xfId="0" applyFont="true" applyBorder="true" applyAlignment="false" applyProtection="false">
      <alignment horizontal="general" vertical="bottom" textRotation="0" wrapText="false" indent="0" shrinkToFit="false"/>
      <protection locked="true" hidden="false"/>
    </xf>
    <xf numFmtId="166" fontId="10" fillId="3" borderId="1" xfId="0" applyFont="true" applyBorder="true" applyAlignment="false" applyProtection="false">
      <alignment horizontal="general" vertical="bottom"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4" fontId="7" fillId="4" borderId="0" xfId="0" applyFont="true" applyBorder="false" applyAlignment="false" applyProtection="false">
      <alignment horizontal="general" vertical="bottom" textRotation="0" wrapText="false" indent="0" shrinkToFit="false"/>
      <protection locked="true" hidden="false"/>
    </xf>
    <xf numFmtId="165" fontId="7" fillId="4" borderId="0" xfId="0" applyFont="tru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6" fontId="5" fillId="0" borderId="0" xfId="0" applyFont="true" applyBorder="false" applyAlignment="false" applyProtection="false">
      <alignment horizontal="general" vertical="bottom" textRotation="0" wrapText="false" indent="0" shrinkToFit="false"/>
      <protection locked="true" hidden="false"/>
    </xf>
    <xf numFmtId="167" fontId="5" fillId="0" borderId="0" xfId="0" applyFont="true" applyBorder="false" applyAlignment="false" applyProtection="false">
      <alignment horizontal="general" vertical="bottom" textRotation="0" wrapText="false" indent="0" shrinkToFit="false"/>
      <protection locked="true" hidden="false"/>
    </xf>
    <xf numFmtId="168" fontId="10" fillId="3" borderId="1" xfId="0" applyFont="true" applyBorder="true" applyAlignment="false" applyProtection="false">
      <alignment horizontal="general" vertical="bottom" textRotation="0" wrapText="false" indent="0" shrinkToFit="false"/>
      <protection locked="true" hidden="false"/>
    </xf>
    <xf numFmtId="167" fontId="10" fillId="3" borderId="1" xfId="0" applyFont="true" applyBorder="true" applyAlignment="false" applyProtection="false">
      <alignment horizontal="general" vertical="bottom" textRotation="0" wrapText="false" indent="0" shrinkToFit="false"/>
      <protection locked="true" hidden="false"/>
    </xf>
    <xf numFmtId="168" fontId="5" fillId="0" borderId="0" xfId="0" applyFont="true" applyBorder="false" applyAlignment="false" applyProtection="false">
      <alignment horizontal="general" vertical="bottom" textRotation="0" wrapText="false" indent="0" shrinkToFit="false"/>
      <protection locked="true" hidden="false"/>
    </xf>
    <xf numFmtId="166" fontId="7" fillId="4" borderId="0" xfId="0" applyFont="true" applyBorder="false" applyAlignment="false" applyProtection="false">
      <alignment horizontal="general" vertical="bottom" textRotation="0" wrapText="false" indent="0" shrinkToFit="false"/>
      <protection locked="true" hidden="false"/>
    </xf>
    <xf numFmtId="169" fontId="10" fillId="3" borderId="1" xfId="0" applyFont="true" applyBorder="true" applyAlignment="false" applyProtection="false">
      <alignment horizontal="general" vertical="bottom" textRotation="0" wrapText="false" indent="0" shrinkToFit="false"/>
      <protection locked="true" hidden="false"/>
    </xf>
    <xf numFmtId="169" fontId="5"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70" fontId="5"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xf numFmtId="164" fontId="7" fillId="3"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DF2F9"/>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2" customFormat="false" ht="17.35" hidden="false" customHeight="false" outlineLevel="0" collapsed="false">
      <c r="B2" s="1" t="s">
        <v>0</v>
      </c>
    </row>
    <row r="4" customFormat="false" ht="23.85" hidden="false" customHeight="false" outlineLevel="0" collapsed="false">
      <c r="B4" s="2" t="s">
        <v>1</v>
      </c>
    </row>
    <row r="6" customFormat="false" ht="15" hidden="false" customHeight="false" outlineLevel="0" collapsed="false">
      <c r="B6" s="3" t="s">
        <v>2</v>
      </c>
    </row>
    <row r="7" customFormat="false" ht="15" hidden="false" customHeight="false" outlineLevel="0" collapsed="false">
      <c r="B7" s="4" t="s">
        <v>3</v>
      </c>
    </row>
    <row r="8" customFormat="false" ht="15" hidden="false" customHeight="false" outlineLevel="0" collapsed="false">
      <c r="B8" s="2" t="s">
        <v>4</v>
      </c>
    </row>
    <row r="9" customFormat="false" ht="15" hidden="false" customHeight="false" outlineLevel="0" collapsed="false">
      <c r="B9" s="4" t="s">
        <v>5</v>
      </c>
    </row>
    <row r="10" customFormat="false" ht="23.85" hidden="false" customHeight="false" outlineLevel="0" collapsed="false">
      <c r="B10" s="2" t="s">
        <v>6</v>
      </c>
    </row>
    <row r="11" customFormat="false" ht="15" hidden="false" customHeight="false" outlineLevel="0" collapsed="false">
      <c r="B11" s="4" t="s">
        <v>7</v>
      </c>
    </row>
    <row r="12" customFormat="false" ht="23.85" hidden="false" customHeight="false" outlineLevel="0" collapsed="false">
      <c r="B12" s="2" t="s">
        <v>8</v>
      </c>
    </row>
    <row r="13" customFormat="false" ht="15" hidden="false" customHeight="false" outlineLevel="0" collapsed="false">
      <c r="B13" s="4" t="s">
        <v>9</v>
      </c>
    </row>
    <row r="14" customFormat="false" ht="15" hidden="false" customHeight="false" outlineLevel="0" collapsed="false">
      <c r="B14" s="2" t="s">
        <v>10</v>
      </c>
    </row>
    <row r="15" customFormat="false" ht="15" hidden="false" customHeight="false" outlineLevel="0" collapsed="false">
      <c r="B15" s="4" t="s">
        <v>11</v>
      </c>
    </row>
    <row r="16" customFormat="false" ht="23.85" hidden="false" customHeight="false" outlineLevel="0" collapsed="false">
      <c r="B16" s="2" t="s">
        <v>12</v>
      </c>
    </row>
    <row r="17" customFormat="false" ht="15" hidden="false" customHeight="false" outlineLevel="0" collapsed="false">
      <c r="B17" s="4" t="s">
        <v>13</v>
      </c>
    </row>
    <row r="18" customFormat="false" ht="15" hidden="false" customHeight="false" outlineLevel="0" collapsed="false">
      <c r="B18" s="2" t="s">
        <v>14</v>
      </c>
    </row>
    <row r="20" customFormat="false" ht="22.35" hidden="false" customHeight="false" outlineLevel="0" collapsed="false">
      <c r="B20" s="5" t="s">
        <v>15</v>
      </c>
    </row>
    <row r="22" customFormat="false" ht="15" hidden="false" customHeight="false" outlineLevel="0" collapsed="false">
      <c r="B22" s="5" t="s">
        <v>16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5" min="3" style="0" width="17"/>
    <col collapsed="false" customWidth="true" hidden="false" outlineLevel="0" max="6" min="6" style="0" width="52"/>
  </cols>
  <sheetData>
    <row r="2" customFormat="false" ht="32.8" hidden="false" customHeight="false" outlineLevel="0" collapsed="false">
      <c r="B2" s="1" t="s">
        <v>17</v>
      </c>
    </row>
    <row r="4" customFormat="false" ht="31.5" hidden="false" customHeight="true" outlineLevel="0" collapsed="false">
      <c r="B4" s="6" t="s">
        <v>18</v>
      </c>
      <c r="C4" s="6"/>
      <c r="D4" s="6"/>
      <c r="E4" s="6"/>
      <c r="F4" s="6"/>
    </row>
    <row r="6" customFormat="false" ht="15" hidden="false" customHeight="false" outlineLevel="0" collapsed="false">
      <c r="B6" s="3" t="s">
        <v>19</v>
      </c>
    </row>
    <row r="7" customFormat="false" ht="27.75" hidden="false" customHeight="true" outlineLevel="0" collapsed="false">
      <c r="B7" s="7"/>
      <c r="C7" s="7" t="s">
        <v>20</v>
      </c>
      <c r="F7" s="7" t="s">
        <v>21</v>
      </c>
    </row>
    <row r="8" customFormat="false" ht="15" hidden="false" customHeight="false" outlineLevel="0" collapsed="false">
      <c r="B8" s="8" t="s">
        <v>22</v>
      </c>
      <c r="C8" s="9" t="n">
        <v>500000000</v>
      </c>
      <c r="F8" s="5" t="s">
        <v>23</v>
      </c>
    </row>
    <row r="9" customFormat="false" ht="15" hidden="false" customHeight="false" outlineLevel="0" collapsed="false">
      <c r="B9" s="8" t="s">
        <v>24</v>
      </c>
      <c r="C9" s="9" t="n">
        <v>1000000000</v>
      </c>
      <c r="F9" s="5" t="s">
        <v>25</v>
      </c>
    </row>
    <row r="10" customFormat="false" ht="15" hidden="false" customHeight="false" outlineLevel="0" collapsed="false">
      <c r="B10" s="8" t="s">
        <v>26</v>
      </c>
      <c r="C10" s="9" t="n">
        <v>200000000</v>
      </c>
      <c r="F10" s="5" t="s">
        <v>27</v>
      </c>
    </row>
    <row r="11" customFormat="false" ht="15" hidden="false" customHeight="false" outlineLevel="0" collapsed="false">
      <c r="B11" s="8" t="s">
        <v>28</v>
      </c>
      <c r="C11" s="10" t="n">
        <v>0.2</v>
      </c>
      <c r="F11" s="5" t="s">
        <v>29</v>
      </c>
    </row>
    <row r="12" customFormat="false" ht="15" hidden="false" customHeight="false" outlineLevel="0" collapsed="false">
      <c r="B12" s="8" t="s">
        <v>30</v>
      </c>
      <c r="C12" s="10" t="n">
        <v>1</v>
      </c>
      <c r="F12" s="5" t="s">
        <v>31</v>
      </c>
    </row>
    <row r="14" customFormat="false" ht="15" hidden="false" customHeight="false" outlineLevel="0" collapsed="false">
      <c r="B14" s="3" t="s">
        <v>32</v>
      </c>
    </row>
    <row r="15" customFormat="false" ht="27.75" hidden="false" customHeight="true" outlineLevel="0" collapsed="false">
      <c r="B15" s="7" t="s">
        <v>33</v>
      </c>
      <c r="C15" s="7" t="s">
        <v>34</v>
      </c>
      <c r="D15" s="7" t="s">
        <v>35</v>
      </c>
      <c r="E15" s="7" t="s">
        <v>36</v>
      </c>
      <c r="F15" s="7" t="s">
        <v>37</v>
      </c>
    </row>
    <row r="16" customFormat="false" ht="15" hidden="false" customHeight="false" outlineLevel="0" collapsed="false">
      <c r="B16" s="4" t="s">
        <v>38</v>
      </c>
      <c r="E16" s="11" t="n">
        <f aca="false">$C$9</f>
        <v>1000000000</v>
      </c>
    </row>
    <row r="17" customFormat="false" ht="15" hidden="false" customHeight="false" outlineLevel="0" collapsed="false">
      <c r="B17" s="8" t="s">
        <v>39</v>
      </c>
      <c r="C17" s="11" t="n">
        <f aca="false">MIN($C$8,E16)</f>
        <v>500000000</v>
      </c>
      <c r="E17" s="11" t="n">
        <f aca="false">E16-C17</f>
        <v>500000000</v>
      </c>
      <c r="F17" s="5" t="s">
        <v>40</v>
      </c>
    </row>
    <row r="18" customFormat="false" ht="15" hidden="false" customHeight="false" outlineLevel="0" collapsed="false">
      <c r="B18" s="8" t="s">
        <v>41</v>
      </c>
      <c r="C18" s="11" t="n">
        <f aca="false">MIN($C$10,E17)</f>
        <v>200000000</v>
      </c>
      <c r="E18" s="11" t="n">
        <f aca="false">E17-C18</f>
        <v>300000000</v>
      </c>
      <c r="F18" s="5" t="s">
        <v>42</v>
      </c>
    </row>
    <row r="19" customFormat="false" ht="32.8" hidden="false" customHeight="false" outlineLevel="0" collapsed="false">
      <c r="B19" s="8" t="s">
        <v>43</v>
      </c>
      <c r="D19" s="11" t="n">
        <f aca="false">MIN($C$12*($C$11/(1-$C$11))*C18,E18)</f>
        <v>50000000</v>
      </c>
      <c r="E19" s="11" t="n">
        <f aca="false">E18-D19</f>
        <v>250000000</v>
      </c>
      <c r="F19" s="5" t="s">
        <v>44</v>
      </c>
    </row>
    <row r="20" customFormat="false" ht="15" hidden="false" customHeight="false" outlineLevel="0" collapsed="false">
      <c r="B20" s="8" t="s">
        <v>45</v>
      </c>
      <c r="C20" s="11" t="n">
        <f aca="false">(1-$C$11)*E19</f>
        <v>200000000</v>
      </c>
      <c r="D20" s="11" t="n">
        <f aca="false">$C$11*E19</f>
        <v>50000000</v>
      </c>
      <c r="E20" s="11" t="n">
        <f aca="false">E19-C20-D20</f>
        <v>0</v>
      </c>
      <c r="F20" s="5" t="s">
        <v>46</v>
      </c>
    </row>
    <row r="21" customFormat="false" ht="15" hidden="false" customHeight="false" outlineLevel="0" collapsed="false">
      <c r="B21" s="12" t="s">
        <v>47</v>
      </c>
      <c r="C21" s="13" t="n">
        <f aca="false">SUM(C17:C20)</f>
        <v>900000000</v>
      </c>
      <c r="D21" s="13" t="n">
        <f aca="false">SUM(D17:D20)</f>
        <v>100000000</v>
      </c>
      <c r="E21" s="13" t="n">
        <f aca="false">E20</f>
        <v>0</v>
      </c>
      <c r="F21" s="14"/>
    </row>
    <row r="23" customFormat="false" ht="15" hidden="false" customHeight="false" outlineLevel="0" collapsed="false">
      <c r="B23" s="3" t="s">
        <v>48</v>
      </c>
    </row>
    <row r="24" customFormat="false" ht="27.75" hidden="false" customHeight="true" outlineLevel="0" collapsed="false">
      <c r="B24" s="7"/>
      <c r="C24" s="7" t="s">
        <v>20</v>
      </c>
      <c r="F24" s="7" t="s">
        <v>49</v>
      </c>
    </row>
    <row r="25" customFormat="false" ht="15" hidden="false" customHeight="false" outlineLevel="0" collapsed="false">
      <c r="B25" s="8" t="s">
        <v>50</v>
      </c>
      <c r="C25" s="11" t="n">
        <f aca="false">$C$9-$C$8</f>
        <v>500000000</v>
      </c>
      <c r="F25" s="5" t="s">
        <v>51</v>
      </c>
    </row>
    <row r="26" customFormat="false" ht="15" hidden="false" customHeight="false" outlineLevel="0" collapsed="false">
      <c r="B26" s="8" t="s">
        <v>52</v>
      </c>
      <c r="C26" s="11" t="n">
        <f aca="false">C21</f>
        <v>900000000</v>
      </c>
      <c r="F26" s="5" t="s">
        <v>53</v>
      </c>
    </row>
    <row r="27" customFormat="false" ht="15" hidden="false" customHeight="false" outlineLevel="0" collapsed="false">
      <c r="B27" s="8" t="s">
        <v>54</v>
      </c>
      <c r="C27" s="11" t="n">
        <f aca="false">D21</f>
        <v>100000000</v>
      </c>
      <c r="F27" s="5" t="s">
        <v>55</v>
      </c>
    </row>
    <row r="28" customFormat="false" ht="15" hidden="false" customHeight="false" outlineLevel="0" collapsed="false">
      <c r="B28" s="8" t="s">
        <v>56</v>
      </c>
      <c r="C28" s="11" t="n">
        <f aca="false">C21+D21</f>
        <v>1000000000</v>
      </c>
      <c r="F28" s="5" t="s">
        <v>57</v>
      </c>
    </row>
    <row r="29" customFormat="false" ht="15" hidden="false" customHeight="false" outlineLevel="0" collapsed="false">
      <c r="B29" s="8" t="s">
        <v>58</v>
      </c>
      <c r="C29" s="15" t="n">
        <f aca="false">IFERROR(D21/($C$9-$C$8),0)</f>
        <v>0.2</v>
      </c>
      <c r="F29" s="5" t="s">
        <v>59</v>
      </c>
    </row>
    <row r="30" customFormat="false" ht="15" hidden="false" customHeight="false" outlineLevel="0" collapsed="false">
      <c r="B30" s="8" t="s">
        <v>60</v>
      </c>
      <c r="C30" s="16" t="n">
        <f aca="false">IFERROR(C21/$C$8,0)</f>
        <v>1.8</v>
      </c>
      <c r="F30" s="5"/>
    </row>
    <row r="32" customFormat="false" ht="15" hidden="false" customHeight="false" outlineLevel="0" collapsed="false">
      <c r="B32" s="3" t="s">
        <v>61</v>
      </c>
    </row>
    <row r="33" customFormat="false" ht="63.75" hidden="false" customHeight="true" outlineLevel="0" collapsed="false">
      <c r="B33" s="6" t="s">
        <v>62</v>
      </c>
      <c r="C33" s="6"/>
      <c r="D33" s="6"/>
      <c r="E33" s="6"/>
      <c r="F33" s="6"/>
    </row>
  </sheetData>
  <mergeCells count="2">
    <mergeCell ref="B4:F4"/>
    <mergeCell ref="B33:F3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8"/>
    <col collapsed="false" customWidth="true" hidden="false" outlineLevel="0" max="4" min="3" style="0" width="17"/>
    <col collapsed="false" customWidth="true" hidden="false" outlineLevel="0" max="6" min="6" style="0" width="52"/>
  </cols>
  <sheetData>
    <row r="2" customFormat="false" ht="17.35" hidden="false" customHeight="false" outlineLevel="0" collapsed="false">
      <c r="B2" s="1" t="s">
        <v>63</v>
      </c>
    </row>
    <row r="4" customFormat="false" ht="45.75" hidden="false" customHeight="true" outlineLevel="0" collapsed="false">
      <c r="B4" s="6" t="s">
        <v>64</v>
      </c>
      <c r="C4" s="6"/>
      <c r="D4" s="6"/>
      <c r="E4" s="6"/>
      <c r="F4" s="6"/>
    </row>
    <row r="6" customFormat="false" ht="15" hidden="false" customHeight="false" outlineLevel="0" collapsed="false">
      <c r="B6" s="3" t="s">
        <v>19</v>
      </c>
    </row>
    <row r="7" customFormat="false" ht="27.75" hidden="false" customHeight="true" outlineLevel="0" collapsed="false">
      <c r="B7" s="7"/>
      <c r="C7" s="7" t="s">
        <v>20</v>
      </c>
      <c r="F7" s="7" t="s">
        <v>21</v>
      </c>
    </row>
    <row r="8" customFormat="false" ht="15" hidden="false" customHeight="false" outlineLevel="0" collapsed="false">
      <c r="B8" s="8" t="s">
        <v>65</v>
      </c>
      <c r="C8" s="17" t="n">
        <v>10</v>
      </c>
      <c r="F8" s="5"/>
    </row>
    <row r="9" customFormat="false" ht="15" hidden="false" customHeight="false" outlineLevel="0" collapsed="false">
      <c r="B9" s="8" t="s">
        <v>66</v>
      </c>
      <c r="C9" s="9" t="n">
        <v>50000000</v>
      </c>
      <c r="F9" s="5" t="s">
        <v>67</v>
      </c>
    </row>
    <row r="10" customFormat="false" ht="15" hidden="false" customHeight="false" outlineLevel="0" collapsed="false">
      <c r="B10" s="8" t="s">
        <v>68</v>
      </c>
      <c r="C10" s="17" t="n">
        <v>7</v>
      </c>
      <c r="F10" s="5" t="s">
        <v>69</v>
      </c>
    </row>
    <row r="11" customFormat="false" ht="15" hidden="false" customHeight="false" outlineLevel="0" collapsed="false">
      <c r="B11" s="8" t="s">
        <v>70</v>
      </c>
      <c r="C11" s="18" t="n">
        <v>1.8</v>
      </c>
      <c r="F11" s="5" t="s">
        <v>71</v>
      </c>
    </row>
    <row r="12" customFormat="false" ht="15" hidden="false" customHeight="false" outlineLevel="0" collapsed="false">
      <c r="B12" s="8" t="s">
        <v>72</v>
      </c>
      <c r="C12" s="17" t="n">
        <v>3</v>
      </c>
      <c r="F12" s="5" t="s">
        <v>73</v>
      </c>
    </row>
    <row r="13" customFormat="false" ht="15" hidden="false" customHeight="false" outlineLevel="0" collapsed="false">
      <c r="B13" s="8" t="s">
        <v>74</v>
      </c>
      <c r="C13" s="18" t="n">
        <v>0.7</v>
      </c>
      <c r="F13" s="5" t="s">
        <v>75</v>
      </c>
    </row>
    <row r="14" customFormat="false" ht="15" hidden="false" customHeight="false" outlineLevel="0" collapsed="false">
      <c r="B14" s="8" t="s">
        <v>76</v>
      </c>
      <c r="C14" s="9" t="n">
        <v>186000000</v>
      </c>
      <c r="F14" s="5" t="s">
        <v>77</v>
      </c>
    </row>
    <row r="15" customFormat="false" ht="15" hidden="false" customHeight="false" outlineLevel="0" collapsed="false">
      <c r="B15" s="8" t="s">
        <v>28</v>
      </c>
      <c r="C15" s="10" t="n">
        <v>0.2</v>
      </c>
      <c r="F15" s="5"/>
    </row>
    <row r="17" customFormat="false" ht="15" hidden="false" customHeight="false" outlineLevel="0" collapsed="false">
      <c r="B17" s="3" t="s">
        <v>78</v>
      </c>
    </row>
    <row r="18" customFormat="false" ht="27.75" hidden="false" customHeight="true" outlineLevel="0" collapsed="false">
      <c r="B18" s="7"/>
      <c r="C18" s="7" t="s">
        <v>20</v>
      </c>
      <c r="F18" s="7" t="s">
        <v>79</v>
      </c>
    </row>
    <row r="19" customFormat="false" ht="15" hidden="false" customHeight="false" outlineLevel="0" collapsed="false">
      <c r="B19" s="8" t="s">
        <v>80</v>
      </c>
      <c r="C19" s="11" t="n">
        <f aca="false">$C$8*$C$9</f>
        <v>500000000</v>
      </c>
      <c r="F19" s="5" t="s">
        <v>81</v>
      </c>
    </row>
    <row r="20" customFormat="false" ht="15" hidden="false" customHeight="false" outlineLevel="0" collapsed="false">
      <c r="B20" s="8" t="s">
        <v>82</v>
      </c>
      <c r="C20" s="16" t="n">
        <f aca="false">IFERROR(($C$10*$C$11+$C$12*$C$13)/$C$8,0)</f>
        <v>1.47</v>
      </c>
      <c r="F20" s="5" t="s">
        <v>83</v>
      </c>
    </row>
    <row r="21" customFormat="false" ht="15" hidden="false" customHeight="false" outlineLevel="0" collapsed="false">
      <c r="B21" s="8" t="s">
        <v>84</v>
      </c>
      <c r="C21" s="11" t="n">
        <f aca="false">$C$9*($C$10*$C$11+$C$12*$C$13)</f>
        <v>735000000</v>
      </c>
      <c r="F21" s="5" t="s">
        <v>85</v>
      </c>
    </row>
    <row r="22" customFormat="false" ht="15" hidden="false" customHeight="false" outlineLevel="0" collapsed="false">
      <c r="B22" s="8" t="s">
        <v>50</v>
      </c>
      <c r="C22" s="11" t="n">
        <f aca="false">$C$9*($C$10*$C$11+$C$12*$C$13)-$C$8*$C$9</f>
        <v>235000000</v>
      </c>
      <c r="F22" s="5" t="s">
        <v>86</v>
      </c>
    </row>
    <row r="23" customFormat="false" ht="15" hidden="false" customHeight="false" outlineLevel="0" collapsed="false">
      <c r="B23" s="8" t="s">
        <v>87</v>
      </c>
      <c r="C23" s="11" t="n">
        <f aca="false">$C$8*$C$9</f>
        <v>500000000</v>
      </c>
      <c r="F23" s="5" t="s">
        <v>81</v>
      </c>
    </row>
    <row r="24" customFormat="false" ht="15" hidden="false" customHeight="false" outlineLevel="0" collapsed="false">
      <c r="B24" s="8" t="s">
        <v>88</v>
      </c>
      <c r="C24" s="11" t="n">
        <f aca="false">$C$14</f>
        <v>186000000</v>
      </c>
      <c r="F24" s="5" t="s">
        <v>89</v>
      </c>
    </row>
    <row r="25" customFormat="false" ht="15" hidden="false" customHeight="false" outlineLevel="0" collapsed="false">
      <c r="B25" s="8" t="s">
        <v>90</v>
      </c>
      <c r="C25" s="11" t="n">
        <f aca="false">($C$9*($C$10*$C$11+$C$12*$C$13)-$C$8*$C$9)-$C$14</f>
        <v>49000000</v>
      </c>
      <c r="F25" s="5" t="s">
        <v>91</v>
      </c>
    </row>
    <row r="26" customFormat="false" ht="15" hidden="false" customHeight="false" outlineLevel="0" collapsed="false">
      <c r="B26" s="8" t="s">
        <v>92</v>
      </c>
      <c r="C26" s="11" t="n">
        <f aca="false">$C$15*($C$9*($C$10*$C$11+$C$12*$C$13)-$C$8*$C$9)</f>
        <v>47000000</v>
      </c>
      <c r="F26" s="5" t="s">
        <v>93</v>
      </c>
    </row>
    <row r="27" customFormat="false" ht="15" hidden="false" customHeight="false" outlineLevel="0" collapsed="false">
      <c r="B27" s="12" t="s">
        <v>94</v>
      </c>
      <c r="C27" s="13" t="n">
        <f aca="false">MIN($C$26,$C$25)</f>
        <v>47000000</v>
      </c>
      <c r="F27" s="5" t="s">
        <v>95</v>
      </c>
    </row>
    <row r="28" customFormat="false" ht="15" hidden="false" customHeight="false" outlineLevel="0" collapsed="false">
      <c r="B28" s="12" t="s">
        <v>96</v>
      </c>
      <c r="C28" s="13" t="n">
        <f aca="false">$C$25-$C$27</f>
        <v>2000000</v>
      </c>
      <c r="F28" s="5" t="s">
        <v>97</v>
      </c>
    </row>
    <row r="30" customFormat="false" ht="15" hidden="false" customHeight="false" outlineLevel="0" collapsed="false">
      <c r="B30" s="3" t="s">
        <v>98</v>
      </c>
    </row>
    <row r="31" customFormat="false" ht="27.75" hidden="false" customHeight="true" outlineLevel="0" collapsed="false">
      <c r="B31" s="7"/>
      <c r="C31" s="7" t="s">
        <v>20</v>
      </c>
      <c r="F31" s="7" t="s">
        <v>99</v>
      </c>
    </row>
    <row r="32" customFormat="false" ht="15" hidden="false" customHeight="false" outlineLevel="0" collapsed="false">
      <c r="B32" s="8" t="s">
        <v>52</v>
      </c>
      <c r="C32" s="11" t="n">
        <f aca="false">$C$8*$C$9+$C$14+$C$28</f>
        <v>688000000</v>
      </c>
      <c r="F32" s="5" t="s">
        <v>100</v>
      </c>
    </row>
    <row r="33" customFormat="false" ht="15" hidden="false" customHeight="false" outlineLevel="0" collapsed="false">
      <c r="B33" s="8" t="s">
        <v>54</v>
      </c>
      <c r="C33" s="11" t="n">
        <f aca="false">$C$27</f>
        <v>47000000</v>
      </c>
      <c r="F33" s="5" t="s">
        <v>101</v>
      </c>
    </row>
    <row r="34" customFormat="false" ht="15" hidden="false" customHeight="false" outlineLevel="0" collapsed="false">
      <c r="B34" s="8" t="s">
        <v>56</v>
      </c>
      <c r="C34" s="11" t="n">
        <f aca="false">$C$8*$C$9+$C$14+$C$28+$C$27</f>
        <v>735000000</v>
      </c>
      <c r="F34" s="5" t="s">
        <v>102</v>
      </c>
    </row>
    <row r="35" customFormat="false" ht="15" hidden="false" customHeight="false" outlineLevel="0" collapsed="false">
      <c r="B35" s="8" t="s">
        <v>103</v>
      </c>
      <c r="C35" s="15" t="n">
        <f aca="false">IFERROR($C$27/$C$22,0)</f>
        <v>0.2</v>
      </c>
      <c r="F35" s="5" t="s">
        <v>104</v>
      </c>
    </row>
    <row r="36" customFormat="false" ht="15" hidden="false" customHeight="false" outlineLevel="0" collapsed="false">
      <c r="B36" s="8" t="s">
        <v>60</v>
      </c>
      <c r="C36" s="16" t="n">
        <f aca="false">IFERROR(($C$8*$C$9+$C$14+$C$28)/($C$8*$C$9),0)</f>
        <v>1.376</v>
      </c>
      <c r="F36" s="5"/>
    </row>
    <row r="37" customFormat="false" ht="15" hidden="false" customHeight="false" outlineLevel="0" collapsed="false">
      <c r="B37" s="8" t="s">
        <v>105</v>
      </c>
      <c r="C37" s="11" t="n">
        <f aca="false">$C$25-$C$26</f>
        <v>2000000</v>
      </c>
      <c r="F37" s="5" t="s">
        <v>106</v>
      </c>
    </row>
    <row r="39" customFormat="false" ht="15" hidden="false" customHeight="false" outlineLevel="0" collapsed="false">
      <c r="B39" s="3" t="s">
        <v>107</v>
      </c>
    </row>
    <row r="40" customFormat="false" ht="48" hidden="false" customHeight="true" outlineLevel="0" collapsed="false">
      <c r="B40" s="6" t="s">
        <v>108</v>
      </c>
      <c r="C40" s="6"/>
      <c r="D40" s="6"/>
      <c r="E40" s="6"/>
      <c r="F40" s="6"/>
    </row>
  </sheetData>
  <mergeCells count="2">
    <mergeCell ref="B4:F4"/>
    <mergeCell ref="B40:F4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K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6"/>
    <col collapsed="false" customWidth="true" hidden="false" outlineLevel="0" max="3" min="3" style="0" width="14"/>
    <col collapsed="false" customWidth="true" hidden="false" outlineLevel="0" max="4" min="4" style="0" width="11"/>
    <col collapsed="false" customWidth="true" hidden="false" outlineLevel="0" max="10" min="5" style="0" width="14"/>
    <col collapsed="false" customWidth="true" hidden="false" outlineLevel="0" max="11" min="11" style="0" width="46"/>
  </cols>
  <sheetData>
    <row r="2" customFormat="false" ht="79.85" hidden="false" customHeight="false" outlineLevel="0" collapsed="false">
      <c r="B2" s="1" t="s">
        <v>109</v>
      </c>
    </row>
    <row r="4" customFormat="false" ht="45.75" hidden="false" customHeight="true" outlineLevel="0" collapsed="false">
      <c r="B4" s="6" t="s">
        <v>110</v>
      </c>
      <c r="C4" s="6"/>
      <c r="D4" s="6"/>
      <c r="E4" s="6"/>
      <c r="F4" s="6"/>
      <c r="G4" s="6"/>
      <c r="H4" s="6"/>
    </row>
    <row r="6" customFormat="false" ht="27.75" hidden="false" customHeight="true" outlineLevel="0" collapsed="false">
      <c r="B6" s="7" t="s">
        <v>111</v>
      </c>
      <c r="C6" s="7" t="s">
        <v>112</v>
      </c>
      <c r="D6" s="7" t="s">
        <v>113</v>
      </c>
      <c r="E6" s="7" t="s">
        <v>114</v>
      </c>
      <c r="F6" s="7" t="s">
        <v>115</v>
      </c>
      <c r="G6" s="7" t="s">
        <v>116</v>
      </c>
      <c r="H6" s="7" t="s">
        <v>117</v>
      </c>
      <c r="I6" s="7" t="s">
        <v>118</v>
      </c>
      <c r="J6" s="7" t="s">
        <v>119</v>
      </c>
    </row>
    <row r="7" customFormat="false" ht="15" hidden="false" customHeight="false" outlineLevel="0" collapsed="false">
      <c r="B7" s="8" t="s">
        <v>120</v>
      </c>
      <c r="C7" s="9" t="n">
        <v>50000000</v>
      </c>
      <c r="D7" s="17" t="n">
        <v>4</v>
      </c>
      <c r="E7" s="9" t="n">
        <v>90000000</v>
      </c>
      <c r="F7" s="11" t="n">
        <f aca="false">E7-C7</f>
        <v>40000000</v>
      </c>
      <c r="G7" s="11" t="n">
        <f aca="false">MIN(MAX(0,F7),0.08*D7*C7)</f>
        <v>16000000</v>
      </c>
      <c r="H7" s="11" t="n">
        <f aca="false">MIN(0.2/0.8*G7,MAX(0,F7-G7))</f>
        <v>4000000</v>
      </c>
      <c r="I7" s="11" t="n">
        <f aca="false">0.2*MAX(0,F7-G7-H7)</f>
        <v>4000000</v>
      </c>
      <c r="J7" s="11" t="n">
        <f aca="false">H7+I7</f>
        <v>8000000</v>
      </c>
    </row>
    <row r="8" customFormat="false" ht="15" hidden="false" customHeight="false" outlineLevel="0" collapsed="false">
      <c r="B8" s="8" t="s">
        <v>121</v>
      </c>
      <c r="C8" s="9" t="n">
        <v>50000000</v>
      </c>
      <c r="D8" s="17" t="n">
        <v>4</v>
      </c>
      <c r="E8" s="9" t="n">
        <v>90000000</v>
      </c>
      <c r="F8" s="11" t="n">
        <f aca="false">E8-C8</f>
        <v>40000000</v>
      </c>
      <c r="G8" s="11" t="n">
        <f aca="false">MIN(MAX(0,F8),0.08*D8*C8)</f>
        <v>16000000</v>
      </c>
      <c r="H8" s="11" t="n">
        <f aca="false">MIN(0.2/0.8*G8,MAX(0,F8-G8))</f>
        <v>4000000</v>
      </c>
      <c r="I8" s="11" t="n">
        <f aca="false">0.2*MAX(0,F8-G8-H8)</f>
        <v>4000000</v>
      </c>
      <c r="J8" s="11" t="n">
        <f aca="false">H8+I8</f>
        <v>8000000</v>
      </c>
    </row>
    <row r="9" customFormat="false" ht="15" hidden="false" customHeight="false" outlineLevel="0" collapsed="false">
      <c r="B9" s="8" t="s">
        <v>122</v>
      </c>
      <c r="C9" s="9" t="n">
        <v>50000000</v>
      </c>
      <c r="D9" s="17" t="n">
        <v>4</v>
      </c>
      <c r="E9" s="9" t="n">
        <v>90000000</v>
      </c>
      <c r="F9" s="11" t="n">
        <f aca="false">E9-C9</f>
        <v>40000000</v>
      </c>
      <c r="G9" s="11" t="n">
        <f aca="false">MIN(MAX(0,F9),0.08*D9*C9)</f>
        <v>16000000</v>
      </c>
      <c r="H9" s="11" t="n">
        <f aca="false">MIN(0.2/0.8*G9,MAX(0,F9-G9))</f>
        <v>4000000</v>
      </c>
      <c r="I9" s="11" t="n">
        <f aca="false">0.2*MAX(0,F9-G9-H9)</f>
        <v>4000000</v>
      </c>
      <c r="J9" s="11" t="n">
        <f aca="false">H9+I9</f>
        <v>8000000</v>
      </c>
    </row>
    <row r="10" customFormat="false" ht="15" hidden="false" customHeight="false" outlineLevel="0" collapsed="false">
      <c r="B10" s="8" t="s">
        <v>123</v>
      </c>
      <c r="C10" s="9" t="n">
        <v>50000000</v>
      </c>
      <c r="D10" s="17" t="n">
        <v>4</v>
      </c>
      <c r="E10" s="9" t="n">
        <v>90000000</v>
      </c>
      <c r="F10" s="11" t="n">
        <f aca="false">E10-C10</f>
        <v>40000000</v>
      </c>
      <c r="G10" s="11" t="n">
        <f aca="false">MIN(MAX(0,F10),0.08*D10*C10)</f>
        <v>16000000</v>
      </c>
      <c r="H10" s="11" t="n">
        <f aca="false">MIN(0.2/0.8*G10,MAX(0,F10-G10))</f>
        <v>4000000</v>
      </c>
      <c r="I10" s="11" t="n">
        <f aca="false">0.2*MAX(0,F10-G10-H10)</f>
        <v>4000000</v>
      </c>
      <c r="J10" s="11" t="n">
        <f aca="false">H10+I10</f>
        <v>8000000</v>
      </c>
    </row>
    <row r="11" customFormat="false" ht="15" hidden="false" customHeight="false" outlineLevel="0" collapsed="false">
      <c r="B11" s="8" t="s">
        <v>124</v>
      </c>
      <c r="C11" s="9" t="n">
        <v>50000000</v>
      </c>
      <c r="D11" s="17" t="n">
        <v>4</v>
      </c>
      <c r="E11" s="9" t="n">
        <v>90000000</v>
      </c>
      <c r="F11" s="11" t="n">
        <f aca="false">E11-C11</f>
        <v>40000000</v>
      </c>
      <c r="G11" s="11" t="n">
        <f aca="false">MIN(MAX(0,F11),0.08*D11*C11)</f>
        <v>16000000</v>
      </c>
      <c r="H11" s="11" t="n">
        <f aca="false">MIN(0.2/0.8*G11,MAX(0,F11-G11))</f>
        <v>4000000</v>
      </c>
      <c r="I11" s="11" t="n">
        <f aca="false">0.2*MAX(0,F11-G11-H11)</f>
        <v>4000000</v>
      </c>
      <c r="J11" s="11" t="n">
        <f aca="false">H11+I11</f>
        <v>8000000</v>
      </c>
    </row>
    <row r="12" customFormat="false" ht="15" hidden="false" customHeight="false" outlineLevel="0" collapsed="false">
      <c r="B12" s="8" t="s">
        <v>125</v>
      </c>
      <c r="C12" s="9" t="n">
        <v>50000000</v>
      </c>
      <c r="D12" s="17" t="n">
        <v>4</v>
      </c>
      <c r="E12" s="9" t="n">
        <v>90000000</v>
      </c>
      <c r="F12" s="11" t="n">
        <f aca="false">E12-C12</f>
        <v>40000000</v>
      </c>
      <c r="G12" s="11" t="n">
        <f aca="false">MIN(MAX(0,F12),0.08*D12*C12)</f>
        <v>16000000</v>
      </c>
      <c r="H12" s="11" t="n">
        <f aca="false">MIN(0.2/0.8*G12,MAX(0,F12-G12))</f>
        <v>4000000</v>
      </c>
      <c r="I12" s="11" t="n">
        <f aca="false">0.2*MAX(0,F12-G12-H12)</f>
        <v>4000000</v>
      </c>
      <c r="J12" s="11" t="n">
        <f aca="false">H12+I12</f>
        <v>8000000</v>
      </c>
    </row>
    <row r="13" customFormat="false" ht="15" hidden="false" customHeight="false" outlineLevel="0" collapsed="false">
      <c r="B13" s="8" t="s">
        <v>126</v>
      </c>
      <c r="C13" s="9" t="n">
        <v>50000000</v>
      </c>
      <c r="D13" s="17" t="n">
        <v>4</v>
      </c>
      <c r="E13" s="9" t="n">
        <v>90000000</v>
      </c>
      <c r="F13" s="11" t="n">
        <f aca="false">E13-C13</f>
        <v>40000000</v>
      </c>
      <c r="G13" s="11" t="n">
        <f aca="false">MIN(MAX(0,F13),0.08*D13*C13)</f>
        <v>16000000</v>
      </c>
      <c r="H13" s="11" t="n">
        <f aca="false">MIN(0.2/0.8*G13,MAX(0,F13-G13))</f>
        <v>4000000</v>
      </c>
      <c r="I13" s="11" t="n">
        <f aca="false">0.2*MAX(0,F13-G13-H13)</f>
        <v>4000000</v>
      </c>
      <c r="J13" s="11" t="n">
        <f aca="false">H13+I13</f>
        <v>8000000</v>
      </c>
    </row>
    <row r="14" customFormat="false" ht="15" hidden="false" customHeight="false" outlineLevel="0" collapsed="false">
      <c r="B14" s="8" t="s">
        <v>127</v>
      </c>
      <c r="C14" s="9" t="n">
        <v>50000000</v>
      </c>
      <c r="D14" s="17" t="n">
        <v>5</v>
      </c>
      <c r="E14" s="9" t="n">
        <v>35000000</v>
      </c>
      <c r="F14" s="11" t="n">
        <f aca="false">E14-C14</f>
        <v>-15000000</v>
      </c>
      <c r="G14" s="11" t="n">
        <f aca="false">MIN(MAX(0,F14),0.08*D14*C14)</f>
        <v>0</v>
      </c>
      <c r="H14" s="11" t="n">
        <f aca="false">MIN(0.2/0.8*G14,MAX(0,F14-G14))</f>
        <v>0</v>
      </c>
      <c r="I14" s="11" t="n">
        <f aca="false">0.2*MAX(0,F14-G14-H14)</f>
        <v>0</v>
      </c>
      <c r="J14" s="11" t="n">
        <f aca="false">H14+I14</f>
        <v>0</v>
      </c>
    </row>
    <row r="15" customFormat="false" ht="15" hidden="false" customHeight="false" outlineLevel="0" collapsed="false">
      <c r="B15" s="8" t="s">
        <v>128</v>
      </c>
      <c r="C15" s="9" t="n">
        <v>50000000</v>
      </c>
      <c r="D15" s="17" t="n">
        <v>5</v>
      </c>
      <c r="E15" s="9" t="n">
        <v>35000000</v>
      </c>
      <c r="F15" s="11" t="n">
        <f aca="false">E15-C15</f>
        <v>-15000000</v>
      </c>
      <c r="G15" s="11" t="n">
        <f aca="false">MIN(MAX(0,F15),0.08*D15*C15)</f>
        <v>0</v>
      </c>
      <c r="H15" s="11" t="n">
        <f aca="false">MIN(0.2/0.8*G15,MAX(0,F15-G15))</f>
        <v>0</v>
      </c>
      <c r="I15" s="11" t="n">
        <f aca="false">0.2*MAX(0,F15-G15-H15)</f>
        <v>0</v>
      </c>
      <c r="J15" s="11" t="n">
        <f aca="false">H15+I15</f>
        <v>0</v>
      </c>
    </row>
    <row r="16" customFormat="false" ht="15" hidden="false" customHeight="false" outlineLevel="0" collapsed="false">
      <c r="B16" s="8" t="s">
        <v>129</v>
      </c>
      <c r="C16" s="9" t="n">
        <v>50000000</v>
      </c>
      <c r="D16" s="17" t="n">
        <v>5</v>
      </c>
      <c r="E16" s="9" t="n">
        <v>35000000</v>
      </c>
      <c r="F16" s="11" t="n">
        <f aca="false">E16-C16</f>
        <v>-15000000</v>
      </c>
      <c r="G16" s="11" t="n">
        <f aca="false">MIN(MAX(0,F16),0.08*D16*C16)</f>
        <v>0</v>
      </c>
      <c r="H16" s="11" t="n">
        <f aca="false">MIN(0.2/0.8*G16,MAX(0,F16-G16))</f>
        <v>0</v>
      </c>
      <c r="I16" s="11" t="n">
        <f aca="false">0.2*MAX(0,F16-G16-H16)</f>
        <v>0</v>
      </c>
      <c r="J16" s="11" t="n">
        <f aca="false">H16+I16</f>
        <v>0</v>
      </c>
    </row>
    <row r="17" customFormat="false" ht="15" hidden="false" customHeight="false" outlineLevel="0" collapsed="false">
      <c r="B17" s="12" t="s">
        <v>47</v>
      </c>
      <c r="C17" s="13" t="n">
        <f aca="false">SUM(C7:C16)</f>
        <v>500000000</v>
      </c>
      <c r="D17" s="14"/>
      <c r="E17" s="13" t="n">
        <f aca="false">SUM(E7:E16)</f>
        <v>735000000</v>
      </c>
      <c r="F17" s="13" t="n">
        <f aca="false">SUM(F7:F16)</f>
        <v>235000000</v>
      </c>
      <c r="G17" s="13" t="n">
        <f aca="false">SUM(G7:G16)</f>
        <v>112000000</v>
      </c>
      <c r="H17" s="13" t="n">
        <f aca="false">SUM(H7:H16)</f>
        <v>28000000</v>
      </c>
      <c r="I17" s="13" t="n">
        <f aca="false">SUM(I7:I16)</f>
        <v>28000000</v>
      </c>
      <c r="J17" s="13" t="n">
        <f aca="false">SUM(J7:J16)</f>
        <v>56000000</v>
      </c>
    </row>
    <row r="19" customFormat="false" ht="26.85" hidden="false" customHeight="false" outlineLevel="0" collapsed="false">
      <c r="B19" s="3" t="s">
        <v>130</v>
      </c>
    </row>
    <row r="20" customFormat="false" ht="27.75" hidden="false" customHeight="true" outlineLevel="0" collapsed="false">
      <c r="B20" s="7"/>
      <c r="C20" s="7" t="s">
        <v>131</v>
      </c>
      <c r="K20" s="7" t="s">
        <v>49</v>
      </c>
    </row>
    <row r="21" customFormat="false" ht="15" hidden="false" customHeight="false" outlineLevel="0" collapsed="false">
      <c r="B21" s="8" t="s">
        <v>132</v>
      </c>
      <c r="C21" s="11" t="n">
        <f aca="false">'Example 2'!$C$27</f>
        <v>47000000</v>
      </c>
      <c r="K21" s="5" t="s">
        <v>133</v>
      </c>
    </row>
    <row r="22" customFormat="false" ht="15" hidden="false" customHeight="false" outlineLevel="0" collapsed="false">
      <c r="B22" s="8" t="s">
        <v>134</v>
      </c>
      <c r="C22" s="11" t="n">
        <f aca="false">J17</f>
        <v>56000000</v>
      </c>
      <c r="K22" s="5" t="s">
        <v>135</v>
      </c>
    </row>
    <row r="23" customFormat="false" ht="15" hidden="false" customHeight="false" outlineLevel="0" collapsed="false">
      <c r="B23" s="8" t="s">
        <v>136</v>
      </c>
      <c r="C23" s="11" t="n">
        <f aca="false">MAX(0,J17-'Example 2'!$C$27)</f>
        <v>9000000</v>
      </c>
      <c r="K23" s="5" t="s">
        <v>137</v>
      </c>
    </row>
    <row r="24" customFormat="false" ht="15" hidden="false" customHeight="false" outlineLevel="0" collapsed="false">
      <c r="B24" s="8" t="s">
        <v>138</v>
      </c>
      <c r="C24" s="15" t="n">
        <f aca="false">IFERROR(MAX(0,J17-'Example 2'!$C$27)/MAX(1,J17),0)</f>
        <v>0.160714285714286</v>
      </c>
      <c r="K24" s="5" t="s">
        <v>139</v>
      </c>
    </row>
    <row r="25" customFormat="false" ht="22.35" hidden="false" customHeight="false" outlineLevel="0" collapsed="false">
      <c r="B25" s="8" t="s">
        <v>140</v>
      </c>
      <c r="C25" s="11" t="n">
        <f aca="false">MAX(0,J17-'Example 2'!$C$27)</f>
        <v>9000000</v>
      </c>
      <c r="K25" s="5" t="s">
        <v>141</v>
      </c>
    </row>
    <row r="26" customFormat="false" ht="15" hidden="false" customHeight="false" outlineLevel="0" collapsed="false">
      <c r="B26" s="8" t="s">
        <v>142</v>
      </c>
      <c r="C26" s="19" t="n">
        <f aca="false">10-MIN(D7:D16)</f>
        <v>6</v>
      </c>
      <c r="K26" s="5" t="s">
        <v>143</v>
      </c>
    </row>
    <row r="28" customFormat="false" ht="52.2" hidden="false" customHeight="false" outlineLevel="0" collapsed="false">
      <c r="B28" s="3" t="s">
        <v>144</v>
      </c>
    </row>
    <row r="29" customFormat="false" ht="27.75" hidden="false" customHeight="true" outlineLevel="0" collapsed="false">
      <c r="B29" s="7" t="s">
        <v>145</v>
      </c>
      <c r="C29" s="7" t="s">
        <v>146</v>
      </c>
      <c r="D29" s="7" t="s">
        <v>147</v>
      </c>
      <c r="K29" s="7"/>
    </row>
    <row r="30" customFormat="false" ht="32.8" hidden="false" customHeight="false" outlineLevel="0" collapsed="false">
      <c r="B30" s="8" t="s">
        <v>148</v>
      </c>
      <c r="C30" s="10" t="n">
        <v>0.3</v>
      </c>
      <c r="D30" s="11" t="n">
        <f aca="false">'European vs American'!$C$23*(1-C30)</f>
        <v>6300000</v>
      </c>
      <c r="K30" s="5" t="s">
        <v>149</v>
      </c>
    </row>
    <row r="31" customFormat="false" ht="22.35" hidden="false" customHeight="false" outlineLevel="0" collapsed="false">
      <c r="B31" s="8" t="s">
        <v>150</v>
      </c>
      <c r="C31" s="10" t="n">
        <v>0.4</v>
      </c>
      <c r="D31" s="11" t="n">
        <f aca="false">'European vs American'!$C$23*(1-C31)</f>
        <v>5400000</v>
      </c>
      <c r="K31" s="5" t="s">
        <v>151</v>
      </c>
    </row>
    <row r="32" customFormat="false" ht="22.35" hidden="false" customHeight="false" outlineLevel="0" collapsed="false">
      <c r="B32" s="8" t="s">
        <v>152</v>
      </c>
      <c r="C32" s="10" t="n">
        <v>0.25</v>
      </c>
      <c r="D32" s="11" t="n">
        <f aca="false">'European vs American'!$C$23*(1-C32)</f>
        <v>6750000</v>
      </c>
      <c r="K32" s="5" t="s">
        <v>153</v>
      </c>
    </row>
    <row r="33" customFormat="false" ht="22.35" hidden="false" customHeight="false" outlineLevel="0" collapsed="false">
      <c r="B33" s="12" t="s">
        <v>154</v>
      </c>
      <c r="C33" s="20" t="n">
        <f aca="false">1-(1-C30)*(1-C31)*(1-C32)</f>
        <v>0.685</v>
      </c>
      <c r="D33" s="13" t="n">
        <f aca="false">'European vs American'!$C$23*(1-C30)*(1-C31)*(1-C32)</f>
        <v>2835000</v>
      </c>
      <c r="K33" s="5" t="s">
        <v>155</v>
      </c>
    </row>
  </sheetData>
  <mergeCells count="1">
    <mergeCell ref="B4:H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5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0"/>
    <col collapsed="false" customWidth="true" hidden="false" outlineLevel="0" max="6" min="3" style="0" width="16"/>
    <col collapsed="false" customWidth="true" hidden="false" outlineLevel="0" max="7" min="7" style="0" width="46"/>
  </cols>
  <sheetData>
    <row r="2" customFormat="false" ht="17.35" hidden="false" customHeight="false" outlineLevel="0" collapsed="false">
      <c r="B2" s="1" t="s">
        <v>156</v>
      </c>
    </row>
    <row r="4" customFormat="false" ht="39.75" hidden="false" customHeight="true" outlineLevel="0" collapsed="false">
      <c r="B4" s="6" t="s">
        <v>157</v>
      </c>
      <c r="C4" s="6"/>
      <c r="D4" s="6"/>
      <c r="E4" s="6"/>
      <c r="F4" s="6"/>
      <c r="G4" s="6"/>
    </row>
    <row r="6" customFormat="false" ht="15" hidden="false" customHeight="false" outlineLevel="0" collapsed="false">
      <c r="B6" s="3" t="s">
        <v>158</v>
      </c>
    </row>
    <row r="7" customFormat="false" ht="27.75" hidden="false" customHeight="true" outlineLevel="0" collapsed="false">
      <c r="B7" s="7"/>
      <c r="C7" s="7" t="s">
        <v>20</v>
      </c>
      <c r="G7" s="7" t="s">
        <v>49</v>
      </c>
    </row>
    <row r="8" customFormat="false" ht="15" hidden="false" customHeight="false" outlineLevel="0" collapsed="false">
      <c r="B8" s="8" t="s">
        <v>22</v>
      </c>
      <c r="C8" s="9" t="n">
        <v>500000000</v>
      </c>
      <c r="G8" s="5"/>
    </row>
    <row r="9" customFormat="false" ht="15" hidden="false" customHeight="false" outlineLevel="0" collapsed="false">
      <c r="B9" s="8" t="s">
        <v>159</v>
      </c>
      <c r="C9" s="9" t="n">
        <v>1000000000</v>
      </c>
      <c r="G9" s="5" t="s">
        <v>160</v>
      </c>
    </row>
    <row r="10" customFormat="false" ht="22.35" hidden="false" customHeight="false" outlineLevel="0" collapsed="false">
      <c r="B10" s="8" t="s">
        <v>161</v>
      </c>
      <c r="C10" s="17" t="n">
        <v>5</v>
      </c>
      <c r="G10" s="5" t="s">
        <v>162</v>
      </c>
    </row>
    <row r="11" customFormat="false" ht="15" hidden="false" customHeight="false" outlineLevel="0" collapsed="false">
      <c r="B11" s="8" t="s">
        <v>163</v>
      </c>
      <c r="C11" s="21" t="n">
        <v>0.08</v>
      </c>
      <c r="G11" s="5"/>
    </row>
    <row r="12" customFormat="false" ht="15" hidden="false" customHeight="false" outlineLevel="0" collapsed="false">
      <c r="B12" s="8" t="s">
        <v>164</v>
      </c>
      <c r="C12" s="21" t="n">
        <v>0.15</v>
      </c>
      <c r="G12" s="5"/>
    </row>
    <row r="13" customFormat="false" ht="15" hidden="false" customHeight="false" outlineLevel="0" collapsed="false">
      <c r="B13" s="8" t="s">
        <v>165</v>
      </c>
      <c r="C13" s="10" t="n">
        <v>0.2</v>
      </c>
      <c r="G13" s="5" t="s">
        <v>166</v>
      </c>
    </row>
    <row r="14" customFormat="false" ht="15" hidden="false" customHeight="false" outlineLevel="0" collapsed="false">
      <c r="B14" s="8" t="s">
        <v>167</v>
      </c>
      <c r="C14" s="10" t="n">
        <v>0.3</v>
      </c>
      <c r="G14" s="5" t="s">
        <v>168</v>
      </c>
    </row>
    <row r="15" customFormat="false" ht="15" hidden="false" customHeight="false" outlineLevel="0" collapsed="false">
      <c r="B15" s="8" t="s">
        <v>169</v>
      </c>
      <c r="C15" s="10" t="n">
        <v>0.4</v>
      </c>
      <c r="G15" s="5" t="s">
        <v>170</v>
      </c>
    </row>
    <row r="16" customFormat="false" ht="22.35" hidden="false" customHeight="false" outlineLevel="0" collapsed="false">
      <c r="B16" s="8" t="s">
        <v>171</v>
      </c>
      <c r="C16" s="9" t="n">
        <v>300000000</v>
      </c>
      <c r="G16" s="5" t="s">
        <v>172</v>
      </c>
    </row>
    <row r="18" customFormat="false" ht="15" hidden="false" customHeight="false" outlineLevel="0" collapsed="false">
      <c r="B18" s="3" t="s">
        <v>173</v>
      </c>
    </row>
    <row r="19" customFormat="false" ht="27.75" hidden="false" customHeight="true" outlineLevel="0" collapsed="false">
      <c r="B19" s="7" t="s">
        <v>174</v>
      </c>
      <c r="C19" s="7" t="s">
        <v>175</v>
      </c>
      <c r="D19" s="7" t="s">
        <v>176</v>
      </c>
      <c r="G19" s="7" t="s">
        <v>177</v>
      </c>
    </row>
    <row r="20" customFormat="false" ht="15" hidden="false" customHeight="false" outlineLevel="0" collapsed="false">
      <c r="B20" s="8" t="s">
        <v>178</v>
      </c>
      <c r="C20" s="11" t="n">
        <f aca="false">$C$8</f>
        <v>500000000</v>
      </c>
      <c r="D20" s="11" t="n">
        <f aca="false">C20</f>
        <v>500000000</v>
      </c>
      <c r="G20" s="5" t="s">
        <v>179</v>
      </c>
    </row>
    <row r="21" customFormat="false" ht="15" hidden="false" customHeight="false" outlineLevel="0" collapsed="false">
      <c r="B21" s="8" t="s">
        <v>180</v>
      </c>
      <c r="C21" s="11" t="n">
        <f aca="false">$C$8*((1+$C$11)^$C$10-1)</f>
        <v>234664038.4</v>
      </c>
      <c r="D21" s="11" t="n">
        <f aca="false">D20+C21</f>
        <v>734664038.4</v>
      </c>
      <c r="G21" s="5" t="s">
        <v>181</v>
      </c>
    </row>
    <row r="22" customFormat="false" ht="22.35" hidden="false" customHeight="false" outlineLevel="0" collapsed="false">
      <c r="B22" s="8" t="s">
        <v>182</v>
      </c>
      <c r="C22" s="11" t="n">
        <f aca="false">MAX(0,$C$8*((1+$C$12)^$C$10-1)-$C$8*((1+$C$11)^$C$10-1))</f>
        <v>271014555.349999</v>
      </c>
      <c r="D22" s="11" t="n">
        <f aca="false">D21+C22</f>
        <v>1005678593.75</v>
      </c>
      <c r="G22" s="5" t="s">
        <v>183</v>
      </c>
    </row>
    <row r="24" customFormat="false" ht="15" hidden="false" customHeight="false" outlineLevel="0" collapsed="false">
      <c r="B24" s="3" t="s">
        <v>184</v>
      </c>
    </row>
    <row r="25" customFormat="false" ht="27.75" hidden="false" customHeight="true" outlineLevel="0" collapsed="false">
      <c r="B25" s="7" t="s">
        <v>174</v>
      </c>
      <c r="C25" s="7" t="s">
        <v>185</v>
      </c>
      <c r="D25" s="7" t="s">
        <v>34</v>
      </c>
      <c r="E25" s="7" t="s">
        <v>35</v>
      </c>
      <c r="G25" s="7"/>
    </row>
    <row r="26" customFormat="false" ht="15" hidden="false" customHeight="false" outlineLevel="0" collapsed="false">
      <c r="B26" s="8" t="s">
        <v>178</v>
      </c>
      <c r="C26" s="11" t="n">
        <f aca="false">MIN($C$8,$C$9)</f>
        <v>500000000</v>
      </c>
      <c r="D26" s="11" t="n">
        <f aca="false">C26</f>
        <v>500000000</v>
      </c>
      <c r="E26" s="11" t="n">
        <f aca="false">0</f>
        <v>0</v>
      </c>
    </row>
    <row r="27" customFormat="false" ht="15" hidden="false" customHeight="false" outlineLevel="0" collapsed="false">
      <c r="B27" s="8" t="s">
        <v>186</v>
      </c>
      <c r="C27" s="11" t="n">
        <f aca="false">MIN($C$21,MAX(0,$C$9-SUM($C$26:C26)))</f>
        <v>234664038.4</v>
      </c>
      <c r="D27" s="11" t="n">
        <f aca="false">C27</f>
        <v>234664038.4</v>
      </c>
      <c r="E27" s="11" t="n">
        <f aca="false">0</f>
        <v>0</v>
      </c>
    </row>
    <row r="28" customFormat="false" ht="15" hidden="false" customHeight="false" outlineLevel="0" collapsed="false">
      <c r="B28" s="8" t="s">
        <v>187</v>
      </c>
      <c r="C28" s="11" t="n">
        <f aca="false">MIN($C$13/(1-$C$13)*C27,MAX(0,$C$9-SUM($C$26:C27)))</f>
        <v>58666009.6000001</v>
      </c>
      <c r="D28" s="11" t="n">
        <f aca="false">0</f>
        <v>0</v>
      </c>
      <c r="E28" s="11" t="n">
        <f aca="false">C28</f>
        <v>58666009.6000001</v>
      </c>
    </row>
    <row r="29" customFormat="false" ht="15" hidden="false" customHeight="false" outlineLevel="0" collapsed="false">
      <c r="B29" s="8" t="s">
        <v>188</v>
      </c>
      <c r="C29" s="11" t="n">
        <f aca="false">MIN($C$22/(1-$C$13),MAX(0,$C$9-SUM($C$26:C28)))</f>
        <v>206669952</v>
      </c>
      <c r="D29" s="11" t="n">
        <f aca="false">(1-$C$13)*C29</f>
        <v>165335961.6</v>
      </c>
      <c r="E29" s="11" t="n">
        <f aca="false">$C$13*C29</f>
        <v>41333990.3999999</v>
      </c>
    </row>
    <row r="30" customFormat="false" ht="22.35" hidden="false" customHeight="false" outlineLevel="0" collapsed="false">
      <c r="B30" s="8" t="s">
        <v>189</v>
      </c>
      <c r="C30" s="11" t="n">
        <f aca="false">MIN($C$16,MAX(0,$C$9-SUM($C$26:C29)))</f>
        <v>0</v>
      </c>
      <c r="D30" s="11" t="n">
        <f aca="false">(1-$C$14)*C30</f>
        <v>0</v>
      </c>
      <c r="E30" s="11" t="n">
        <f aca="false">$C$14*C30</f>
        <v>0</v>
      </c>
      <c r="G30" s="5" t="s">
        <v>190</v>
      </c>
    </row>
    <row r="31" customFormat="false" ht="15" hidden="false" customHeight="false" outlineLevel="0" collapsed="false">
      <c r="B31" s="8" t="s">
        <v>191</v>
      </c>
      <c r="C31" s="11" t="n">
        <f aca="false">MAX(0,$C$9-SUM($C$26:C30))</f>
        <v>0</v>
      </c>
      <c r="D31" s="11" t="n">
        <f aca="false">(1-$C$15)*C31</f>
        <v>0</v>
      </c>
      <c r="E31" s="11" t="n">
        <f aca="false">$C$15*C31</f>
        <v>0</v>
      </c>
    </row>
    <row r="32" customFormat="false" ht="15" hidden="false" customHeight="false" outlineLevel="0" collapsed="false">
      <c r="B32" s="12" t="s">
        <v>47</v>
      </c>
      <c r="C32" s="13" t="n">
        <f aca="false">SUM(C26:C31)</f>
        <v>1000000000</v>
      </c>
      <c r="D32" s="13" t="n">
        <f aca="false">SUM(D26:D31)</f>
        <v>900000000</v>
      </c>
      <c r="E32" s="13" t="n">
        <f aca="false">SUM(E26:E31)</f>
        <v>100000000</v>
      </c>
      <c r="F32" s="14"/>
      <c r="G32" s="14"/>
    </row>
    <row r="34" customFormat="false" ht="27.75" hidden="false" customHeight="true" outlineLevel="0" collapsed="false">
      <c r="B34" s="7"/>
      <c r="C34" s="7" t="s">
        <v>20</v>
      </c>
      <c r="G34" s="7" t="s">
        <v>49</v>
      </c>
    </row>
    <row r="35" customFormat="false" ht="15" hidden="false" customHeight="false" outlineLevel="0" collapsed="false">
      <c r="B35" s="8" t="s">
        <v>52</v>
      </c>
      <c r="C35" s="11" t="n">
        <f aca="false">D32</f>
        <v>900000000</v>
      </c>
      <c r="G35" s="5"/>
    </row>
    <row r="36" customFormat="false" ht="15" hidden="false" customHeight="false" outlineLevel="0" collapsed="false">
      <c r="B36" s="8" t="s">
        <v>54</v>
      </c>
      <c r="C36" s="11" t="n">
        <f aca="false">E32</f>
        <v>100000000</v>
      </c>
      <c r="G36" s="5"/>
    </row>
    <row r="37" customFormat="false" ht="15" hidden="false" customHeight="false" outlineLevel="0" collapsed="false">
      <c r="B37" s="8" t="s">
        <v>192</v>
      </c>
      <c r="C37" s="11" t="n">
        <f aca="false">D32+E32</f>
        <v>1000000000</v>
      </c>
      <c r="G37" s="5" t="s">
        <v>193</v>
      </c>
    </row>
    <row r="38" customFormat="false" ht="15" hidden="false" customHeight="false" outlineLevel="0" collapsed="false">
      <c r="B38" s="8" t="s">
        <v>58</v>
      </c>
      <c r="C38" s="15" t="n">
        <f aca="false">IFERROR(E32/($C$9-$C$8),0)</f>
        <v>0.2</v>
      </c>
      <c r="G38" s="5" t="s">
        <v>194</v>
      </c>
    </row>
    <row r="39" customFormat="false" ht="22.35" hidden="false" customHeight="false" outlineLevel="0" collapsed="false">
      <c r="B39" s="8" t="s">
        <v>195</v>
      </c>
      <c r="C39" s="11" t="n">
        <f aca="false">IFERROR(E32-'Example 1'!$D$21,0)</f>
        <v>0</v>
      </c>
      <c r="G39" s="5" t="s">
        <v>196</v>
      </c>
    </row>
    <row r="40" customFormat="false" ht="15" hidden="false" customHeight="false" outlineLevel="0" collapsed="false">
      <c r="B40" s="8" t="s">
        <v>197</v>
      </c>
      <c r="C40" s="22" t="n">
        <f aca="false">IFERROR((D32/$C$8)^(1/$C$10)-1,0)</f>
        <v>0.124746113142095</v>
      </c>
      <c r="G40" s="5"/>
    </row>
    <row r="42" customFormat="false" ht="39.75" hidden="false" customHeight="true" outlineLevel="0" collapsed="false">
      <c r="B42" s="6" t="s">
        <v>198</v>
      </c>
      <c r="C42" s="6"/>
      <c r="D42" s="6"/>
      <c r="E42" s="6"/>
      <c r="F42" s="6"/>
      <c r="G42" s="6"/>
    </row>
    <row r="44" customFormat="false" ht="15" hidden="false" customHeight="false" outlineLevel="0" collapsed="false">
      <c r="B44" s="3" t="s">
        <v>199</v>
      </c>
    </row>
    <row r="45" customFormat="false" ht="27.75" hidden="false" customHeight="true" outlineLevel="0" collapsed="false">
      <c r="B45" s="7" t="s">
        <v>159</v>
      </c>
      <c r="C45" s="7" t="s">
        <v>200</v>
      </c>
      <c r="D45" s="7" t="s">
        <v>201</v>
      </c>
      <c r="E45" s="7" t="s">
        <v>202</v>
      </c>
      <c r="F45" s="7" t="s">
        <v>203</v>
      </c>
      <c r="G45" s="7" t="s">
        <v>204</v>
      </c>
    </row>
    <row r="46" customFormat="false" ht="15" hidden="false" customHeight="false" outlineLevel="0" collapsed="false">
      <c r="B46" s="9" t="n">
        <v>800000000</v>
      </c>
      <c r="C46" s="11" t="n">
        <f aca="false">MIN($C$8,$B46)+MIN($C$21,MAX(0,$B46-MIN($C$8,$B46)))+(1-$C$13)*MIN($C$22/(1-$C$13),MAX(0,$B46-MIN($C$8,$B46)-MIN($C$21,MAX(0,$B46-MIN($C$8,$B46)))-MIN($C$13/(1-$C$13)*MIN($C$21,MAX(0,$B46-MIN($C$8,$B46))),MAX(0,$B46-MIN($C$8,$B46)-MIN($C$21,MAX(0,$B46-MIN($C$8,$B46)))))))+(1-$C$14)*MIN($C$16,MAX(0,$B46-MIN($C$8,$B46)-MIN($C$21,MAX(0,$B46-MIN($C$8,$B46)))-MIN($C$13/(1-$C$13)*MIN($C$21,MAX(0,$B46-MIN($C$8,$B46))),MAX(0,$B46-MIN($C$8,$B46)-MIN($C$21,MAX(0,$B46-MIN($C$8,$B46)))))-MIN($C$22/(1-$C$13),MAX(0,$B46-MIN($C$8,$B46)-MIN($C$21,MAX(0,$B46-MIN($C$8,$B46)))-MIN($C$13/(1-$C$13)*MIN($C$21,MAX(0,$B46-MIN($C$8,$B46))),MAX(0,$B46-MIN($C$8,$B46)-MIN($C$21,MAX(0,$B46-MIN($C$8,$B46)))))))))+(1-$C$15)*MAX(0,$B46-MIN($C$8,$B46)-MIN($C$21,MAX(0,$B46-MIN($C$8,$B46)))-MIN($C$13/(1-$C$13)*MIN($C$21,MAX(0,$B46-MIN($C$8,$B46))),MAX(0,$B46-MIN($C$8,$B46)-MIN($C$21,MAX(0,$B46-MIN($C$8,$B46)))))-MIN($C$22/(1-$C$13),MAX(0,$B46-MIN($C$8,$B46)-MIN($C$21,MAX(0,$B46-MIN($C$8,$B46)))-MIN($C$13/(1-$C$13)*MIN($C$21,MAX(0,$B46-MIN($C$8,$B46))),MAX(0,$B46-MIN($C$8,$B46)-MIN($C$21,MAX(0,$B46-MIN($C$8,$B46)))))))-MIN($C$16,MAX(0,$B46-MIN($C$8,$B46)-MIN($C$21,MAX(0,$B46-MIN($C$8,$B46)))-MIN($C$13/(1-$C$13)*MIN($C$21,MAX(0,$B46-MIN($C$8,$B46))),MAX(0,$B46-MIN($C$8,$B46)-MIN($C$21,MAX(0,$B46-MIN($C$8,$B46)))))-MIN($C$22/(1-$C$13),MAX(0,$B46-MIN($C$8,$B46)-MIN($C$21,MAX(0,$B46-MIN($C$8,$B46)))-MIN($C$13/(1-$C$13)*MIN($C$21,MAX(0,$B46-MIN($C$8,$B46))),MAX(0,$B46-MIN($C$8,$B46)-MIN($C$21,MAX(0,$B46-MIN($C$8,$B46))))))))))</f>
        <v>740000000</v>
      </c>
      <c r="D46" s="11" t="n">
        <f aca="false">MIN($C$13/(1-$C$13)*MIN($C$21,MAX(0,$B46-MIN($C$8,$B46))),MAX(0,$B46-MIN($C$8,$B46)-MIN($C$21,MAX(0,$B46-MIN($C$8,$B46)))))+$C$13*MIN($C$22/(1-$C$13),MAX(0,$B46-MIN($C$8,$B46)-MIN($C$21,MAX(0,$B46-MIN($C$8,$B46)))-MIN($C$13/(1-$C$13)*MIN($C$21,MAX(0,$B46-MIN($C$8,$B46))),MAX(0,$B46-MIN($C$8,$B46)-MIN($C$21,MAX(0,$B46-MIN($C$8,$B46)))))))+$C$14*MIN($C$16,MAX(0,$B46-MIN($C$8,$B46)-MIN($C$21,MAX(0,$B46-MIN($C$8,$B46)))-MIN($C$13/(1-$C$13)*MIN($C$21,MAX(0,$B46-MIN($C$8,$B46))),MAX(0,$B46-MIN($C$8,$B46)-MIN($C$21,MAX(0,$B46-MIN($C$8,$B46)))))-MIN($C$22/(1-$C$13),MAX(0,$B46-MIN($C$8,$B46)-MIN($C$21,MAX(0,$B46-MIN($C$8,$B46)))-MIN($C$13/(1-$C$13)*MIN($C$21,MAX(0,$B46-MIN($C$8,$B46))),MAX(0,$B46-MIN($C$8,$B46)-MIN($C$21,MAX(0,$B46-MIN($C$8,$B46)))))))))+$C$15*MAX(0,$B46-MIN($C$8,$B46)-MIN($C$21,MAX(0,$B46-MIN($C$8,$B46)))-MIN($C$13/(1-$C$13)*MIN($C$21,MAX(0,$B46-MIN($C$8,$B46))),MAX(0,$B46-MIN($C$8,$B46)-MIN($C$21,MAX(0,$B46-MIN($C$8,$B46)))))-MIN($C$22/(1-$C$13),MAX(0,$B46-MIN($C$8,$B46)-MIN($C$21,MAX(0,$B46-MIN($C$8,$B46)))-MIN($C$13/(1-$C$13)*MIN($C$21,MAX(0,$B46-MIN($C$8,$B46))),MAX(0,$B46-MIN($C$8,$B46)-MIN($C$21,MAX(0,$B46-MIN($C$8,$B46)))))))-MIN($C$16,MAX(0,$B46-MIN($C$8,$B46)-MIN($C$21,MAX(0,$B46-MIN($C$8,$B46)))-MIN($C$13/(1-$C$13)*MIN($C$21,MAX(0,$B46-MIN($C$8,$B46))),MAX(0,$B46-MIN($C$8,$B46)-MIN($C$21,MAX(0,$B46-MIN($C$8,$B46)))))-MIN($C$22/(1-$C$13),MAX(0,$B46-MIN($C$8,$B46)-MIN($C$21,MAX(0,$B46-MIN($C$8,$B46)))-MIN($C$13/(1-$C$13)*MIN($C$21,MAX(0,$B46-MIN($C$8,$B46))),MAX(0,$B46-MIN($C$8,$B46)-MIN($C$21,MAX(0,$B46-MIN($C$8,$B46))))))))))</f>
        <v>60000000</v>
      </c>
      <c r="E46" s="15" t="n">
        <f aca="false">IFERROR(D46/MAX(1,$B46-$C$8),0)</f>
        <v>0.2</v>
      </c>
      <c r="F46" s="22" t="n">
        <f aca="false">IFERROR((C46/$C$8)^(1/$C$10)-1,0)</f>
        <v>0.0815642983237686</v>
      </c>
      <c r="G46" s="4" t="str">
        <f aca="false">IF(MAX(0,$B46-MIN($C$8,$B46)-MIN($C$21,MAX(0,$B46-MIN($C$8,$B46)))-MIN($C$13/(1-$C$13)*MIN($C$21,MAX(0,$B46-MIN($C$8,$B46))),MAX(0,$B46-MIN($C$8,$B46)-MIN($C$21,MAX(0,$B46-MIN($C$8,$B46)))))-MIN($C$22/(1-$C$13),MAX(0,$B46-MIN($C$8,$B46)-MIN($C$21,MAX(0,$B46-MIN($C$8,$B46)))-MIN($C$13/(1-$C$13)*MIN($C$21,MAX(0,$B46-MIN($C$8,$B46))),MAX(0,$B46-MIN($C$8,$B46)-MIN($C$21,MAX(0,$B46-MIN($C$8,$B46)))))))-MIN($C$16,MAX(0,$B46-MIN($C$8,$B46)-MIN($C$21,MAX(0,$B46-MIN($C$8,$B46)))-MIN($C$13/(1-$C$13)*MIN($C$21,MAX(0,$B46-MIN($C$8,$B46))),MAX(0,$B46-MIN($C$8,$B46)-MIN($C$21,MAX(0,$B46-MIN($C$8,$B46)))))-MIN($C$22/(1-$C$13),MAX(0,$B46-MIN($C$8,$B46)-MIN($C$21,MAX(0,$B46-MIN($C$8,$B46)))-MIN($C$13/(1-$C$13)*MIN($C$21,MAX(0,$B46-MIN($C$8,$B46))),MAX(0,$B46-MIN($C$8,$B46)-MIN($C$21,MAX(0,$B46-MIN($C$8,$B46))))))))))&gt;0,"60/40",IF(MIN($C$16,MAX(0,$B46-MIN($C$8,$B46)-MIN($C$21,MAX(0,$B46-MIN($C$8,$B46)))-MIN($C$13/(1-$C$13)*MIN($C$21,MAX(0,$B46-MIN($C$8,$B46))),MAX(0,$B46-MIN($C$8,$B46)-MIN($C$21,MAX(0,$B46-MIN($C$8,$B46)))))-MIN($C$22/(1-$C$13),MAX(0,$B46-MIN($C$8,$B46)-MIN($C$21,MAX(0,$B46-MIN($C$8,$B46)))-MIN($C$13/(1-$C$13)*MIN($C$21,MAX(0,$B46-MIN($C$8,$B46))),MAX(0,$B46-MIN($C$8,$B46)-MIN($C$21,MAX(0,$B46-MIN($C$8,$B46)))))))))&gt;0,"70/30",IF(MIN($C$22/(1-$C$13),MAX(0,$B46-MIN($C$8,$B46)-MIN($C$21,MAX(0,$B46-MIN($C$8,$B46)))-MIN($C$13/(1-$C$13)*MIN($C$21,MAX(0,$B46-MIN($C$8,$B46))),MAX(0,$B46-MIN($C$8,$B46)-MIN($C$21,MAX(0,$B46-MIN($C$8,$B46)))))))&gt;0,"80/20","Pref not cleared")))</f>
        <v>80/20</v>
      </c>
    </row>
    <row r="47" customFormat="false" ht="15" hidden="false" customHeight="false" outlineLevel="0" collapsed="false">
      <c r="B47" s="9" t="n">
        <v>1000000000</v>
      </c>
      <c r="C47" s="11" t="n">
        <f aca="false">MIN($C$8,$B47)+MIN($C$21,MAX(0,$B47-MIN($C$8,$B47)))+(1-$C$13)*MIN($C$22/(1-$C$13),MAX(0,$B47-MIN($C$8,$B47)-MIN($C$21,MAX(0,$B47-MIN($C$8,$B47)))-MIN($C$13/(1-$C$13)*MIN($C$21,MAX(0,$B47-MIN($C$8,$B47))),MAX(0,$B47-MIN($C$8,$B47)-MIN($C$21,MAX(0,$B47-MIN($C$8,$B47)))))))+(1-$C$14)*MIN($C$16,MAX(0,$B47-MIN($C$8,$B47)-MIN($C$21,MAX(0,$B47-MIN($C$8,$B47)))-MIN($C$13/(1-$C$13)*MIN($C$21,MAX(0,$B47-MIN($C$8,$B47))),MAX(0,$B47-MIN($C$8,$B47)-MIN($C$21,MAX(0,$B47-MIN($C$8,$B47)))))-MIN($C$22/(1-$C$13),MAX(0,$B47-MIN($C$8,$B47)-MIN($C$21,MAX(0,$B47-MIN($C$8,$B47)))-MIN($C$13/(1-$C$13)*MIN($C$21,MAX(0,$B47-MIN($C$8,$B47))),MAX(0,$B47-MIN($C$8,$B47)-MIN($C$21,MAX(0,$B47-MIN($C$8,$B47)))))))))+(1-$C$15)*MAX(0,$B47-MIN($C$8,$B47)-MIN($C$21,MAX(0,$B47-MIN($C$8,$B47)))-MIN($C$13/(1-$C$13)*MIN($C$21,MAX(0,$B47-MIN($C$8,$B47))),MAX(0,$B47-MIN($C$8,$B47)-MIN($C$21,MAX(0,$B47-MIN($C$8,$B47)))))-MIN($C$22/(1-$C$13),MAX(0,$B47-MIN($C$8,$B47)-MIN($C$21,MAX(0,$B47-MIN($C$8,$B47)))-MIN($C$13/(1-$C$13)*MIN($C$21,MAX(0,$B47-MIN($C$8,$B47))),MAX(0,$B47-MIN($C$8,$B47)-MIN($C$21,MAX(0,$B47-MIN($C$8,$B47)))))))-MIN($C$16,MAX(0,$B47-MIN($C$8,$B47)-MIN($C$21,MAX(0,$B47-MIN($C$8,$B47)))-MIN($C$13/(1-$C$13)*MIN($C$21,MAX(0,$B47-MIN($C$8,$B47))),MAX(0,$B47-MIN($C$8,$B47)-MIN($C$21,MAX(0,$B47-MIN($C$8,$B47)))))-MIN($C$22/(1-$C$13),MAX(0,$B47-MIN($C$8,$B47)-MIN($C$21,MAX(0,$B47-MIN($C$8,$B47)))-MIN($C$13/(1-$C$13)*MIN($C$21,MAX(0,$B47-MIN($C$8,$B47))),MAX(0,$B47-MIN($C$8,$B47)-MIN($C$21,MAX(0,$B47-MIN($C$8,$B47))))))))))</f>
        <v>900000000</v>
      </c>
      <c r="D47" s="11" t="n">
        <f aca="false">MIN($C$13/(1-$C$13)*MIN($C$21,MAX(0,$B47-MIN($C$8,$B47))),MAX(0,$B47-MIN($C$8,$B47)-MIN($C$21,MAX(0,$B47-MIN($C$8,$B47)))))+$C$13*MIN($C$22/(1-$C$13),MAX(0,$B47-MIN($C$8,$B47)-MIN($C$21,MAX(0,$B47-MIN($C$8,$B47)))-MIN($C$13/(1-$C$13)*MIN($C$21,MAX(0,$B47-MIN($C$8,$B47))),MAX(0,$B47-MIN($C$8,$B47)-MIN($C$21,MAX(0,$B47-MIN($C$8,$B47)))))))+$C$14*MIN($C$16,MAX(0,$B47-MIN($C$8,$B47)-MIN($C$21,MAX(0,$B47-MIN($C$8,$B47)))-MIN($C$13/(1-$C$13)*MIN($C$21,MAX(0,$B47-MIN($C$8,$B47))),MAX(0,$B47-MIN($C$8,$B47)-MIN($C$21,MAX(0,$B47-MIN($C$8,$B47)))))-MIN($C$22/(1-$C$13),MAX(0,$B47-MIN($C$8,$B47)-MIN($C$21,MAX(0,$B47-MIN($C$8,$B47)))-MIN($C$13/(1-$C$13)*MIN($C$21,MAX(0,$B47-MIN($C$8,$B47))),MAX(0,$B47-MIN($C$8,$B47)-MIN($C$21,MAX(0,$B47-MIN($C$8,$B47)))))))))+$C$15*MAX(0,$B47-MIN($C$8,$B47)-MIN($C$21,MAX(0,$B47-MIN($C$8,$B47)))-MIN($C$13/(1-$C$13)*MIN($C$21,MAX(0,$B47-MIN($C$8,$B47))),MAX(0,$B47-MIN($C$8,$B47)-MIN($C$21,MAX(0,$B47-MIN($C$8,$B47)))))-MIN($C$22/(1-$C$13),MAX(0,$B47-MIN($C$8,$B47)-MIN($C$21,MAX(0,$B47-MIN($C$8,$B47)))-MIN($C$13/(1-$C$13)*MIN($C$21,MAX(0,$B47-MIN($C$8,$B47))),MAX(0,$B47-MIN($C$8,$B47)-MIN($C$21,MAX(0,$B47-MIN($C$8,$B47)))))))-MIN($C$16,MAX(0,$B47-MIN($C$8,$B47)-MIN($C$21,MAX(0,$B47-MIN($C$8,$B47)))-MIN($C$13/(1-$C$13)*MIN($C$21,MAX(0,$B47-MIN($C$8,$B47))),MAX(0,$B47-MIN($C$8,$B47)-MIN($C$21,MAX(0,$B47-MIN($C$8,$B47)))))-MIN($C$22/(1-$C$13),MAX(0,$B47-MIN($C$8,$B47)-MIN($C$21,MAX(0,$B47-MIN($C$8,$B47)))-MIN($C$13/(1-$C$13)*MIN($C$21,MAX(0,$B47-MIN($C$8,$B47))),MAX(0,$B47-MIN($C$8,$B47)-MIN($C$21,MAX(0,$B47-MIN($C$8,$B47))))))))))</f>
        <v>100000000</v>
      </c>
      <c r="E47" s="15" t="n">
        <f aca="false">IFERROR(D47/MAX(1,$B47-$C$8),0)</f>
        <v>0.2</v>
      </c>
      <c r="F47" s="22" t="n">
        <f aca="false">IFERROR((C47/$C$8)^(1/$C$10)-1,0)</f>
        <v>0.124746113142095</v>
      </c>
      <c r="G47" s="4" t="str">
        <f aca="false">IF(MAX(0,$B47-MIN($C$8,$B47)-MIN($C$21,MAX(0,$B47-MIN($C$8,$B47)))-MIN($C$13/(1-$C$13)*MIN($C$21,MAX(0,$B47-MIN($C$8,$B47))),MAX(0,$B47-MIN($C$8,$B47)-MIN($C$21,MAX(0,$B47-MIN($C$8,$B47)))))-MIN($C$22/(1-$C$13),MAX(0,$B47-MIN($C$8,$B47)-MIN($C$21,MAX(0,$B47-MIN($C$8,$B47)))-MIN($C$13/(1-$C$13)*MIN($C$21,MAX(0,$B47-MIN($C$8,$B47))),MAX(0,$B47-MIN($C$8,$B47)-MIN($C$21,MAX(0,$B47-MIN($C$8,$B47)))))))-MIN($C$16,MAX(0,$B47-MIN($C$8,$B47)-MIN($C$21,MAX(0,$B47-MIN($C$8,$B47)))-MIN($C$13/(1-$C$13)*MIN($C$21,MAX(0,$B47-MIN($C$8,$B47))),MAX(0,$B47-MIN($C$8,$B47)-MIN($C$21,MAX(0,$B47-MIN($C$8,$B47)))))-MIN($C$22/(1-$C$13),MAX(0,$B47-MIN($C$8,$B47)-MIN($C$21,MAX(0,$B47-MIN($C$8,$B47)))-MIN($C$13/(1-$C$13)*MIN($C$21,MAX(0,$B47-MIN($C$8,$B47))),MAX(0,$B47-MIN($C$8,$B47)-MIN($C$21,MAX(0,$B47-MIN($C$8,$B47))))))))))&gt;0,"60/40",IF(MIN($C$16,MAX(0,$B47-MIN($C$8,$B47)-MIN($C$21,MAX(0,$B47-MIN($C$8,$B47)))-MIN($C$13/(1-$C$13)*MIN($C$21,MAX(0,$B47-MIN($C$8,$B47))),MAX(0,$B47-MIN($C$8,$B47)-MIN($C$21,MAX(0,$B47-MIN($C$8,$B47)))))-MIN($C$22/(1-$C$13),MAX(0,$B47-MIN($C$8,$B47)-MIN($C$21,MAX(0,$B47-MIN($C$8,$B47)))-MIN($C$13/(1-$C$13)*MIN($C$21,MAX(0,$B47-MIN($C$8,$B47))),MAX(0,$B47-MIN($C$8,$B47)-MIN($C$21,MAX(0,$B47-MIN($C$8,$B47)))))))))&gt;0,"70/30",IF(MIN($C$22/(1-$C$13),MAX(0,$B47-MIN($C$8,$B47)-MIN($C$21,MAX(0,$B47-MIN($C$8,$B47)))-MIN($C$13/(1-$C$13)*MIN($C$21,MAX(0,$B47-MIN($C$8,$B47))),MAX(0,$B47-MIN($C$8,$B47)-MIN($C$21,MAX(0,$B47-MIN($C$8,$B47)))))))&gt;0,"80/20","Pref not cleared")))</f>
        <v>80/20</v>
      </c>
    </row>
    <row r="48" customFormat="false" ht="15" hidden="false" customHeight="false" outlineLevel="0" collapsed="false">
      <c r="B48" s="9" t="n">
        <v>1200000000</v>
      </c>
      <c r="C48" s="11" t="n">
        <f aca="false">MIN($C$8,$B48)+MIN($C$21,MAX(0,$B48-MIN($C$8,$B48)))+(1-$C$13)*MIN($C$22/(1-$C$13),MAX(0,$B48-MIN($C$8,$B48)-MIN($C$21,MAX(0,$B48-MIN($C$8,$B48)))-MIN($C$13/(1-$C$13)*MIN($C$21,MAX(0,$B48-MIN($C$8,$B48))),MAX(0,$B48-MIN($C$8,$B48)-MIN($C$21,MAX(0,$B48-MIN($C$8,$B48)))))))+(1-$C$14)*MIN($C$16,MAX(0,$B48-MIN($C$8,$B48)-MIN($C$21,MAX(0,$B48-MIN($C$8,$B48)))-MIN($C$13/(1-$C$13)*MIN($C$21,MAX(0,$B48-MIN($C$8,$B48))),MAX(0,$B48-MIN($C$8,$B48)-MIN($C$21,MAX(0,$B48-MIN($C$8,$B48)))))-MIN($C$22/(1-$C$13),MAX(0,$B48-MIN($C$8,$B48)-MIN($C$21,MAX(0,$B48-MIN($C$8,$B48)))-MIN($C$13/(1-$C$13)*MIN($C$21,MAX(0,$B48-MIN($C$8,$B48))),MAX(0,$B48-MIN($C$8,$B48)-MIN($C$21,MAX(0,$B48-MIN($C$8,$B48)))))))))+(1-$C$15)*MAX(0,$B48-MIN($C$8,$B48)-MIN($C$21,MAX(0,$B48-MIN($C$8,$B48)))-MIN($C$13/(1-$C$13)*MIN($C$21,MAX(0,$B48-MIN($C$8,$B48))),MAX(0,$B48-MIN($C$8,$B48)-MIN($C$21,MAX(0,$B48-MIN($C$8,$B48)))))-MIN($C$22/(1-$C$13),MAX(0,$B48-MIN($C$8,$B48)-MIN($C$21,MAX(0,$B48-MIN($C$8,$B48)))-MIN($C$13/(1-$C$13)*MIN($C$21,MAX(0,$B48-MIN($C$8,$B48))),MAX(0,$B48-MIN($C$8,$B48)-MIN($C$21,MAX(0,$B48-MIN($C$8,$B48)))))))-MIN($C$16,MAX(0,$B48-MIN($C$8,$B48)-MIN($C$21,MAX(0,$B48-MIN($C$8,$B48)))-MIN($C$13/(1-$C$13)*MIN($C$21,MAX(0,$B48-MIN($C$8,$B48))),MAX(0,$B48-MIN($C$8,$B48)-MIN($C$21,MAX(0,$B48-MIN($C$8,$B48)))))-MIN($C$22/(1-$C$13),MAX(0,$B48-MIN($C$8,$B48)-MIN($C$21,MAX(0,$B48-MIN($C$8,$B48)))-MIN($C$13/(1-$C$13)*MIN($C$21,MAX(0,$B48-MIN($C$8,$B48))),MAX(0,$B48-MIN($C$8,$B48)-MIN($C$21,MAX(0,$B48-MIN($C$8,$B48))))))))))</f>
        <v>1053209824.21875</v>
      </c>
      <c r="D48" s="11" t="n">
        <f aca="false">MIN($C$13/(1-$C$13)*MIN($C$21,MAX(0,$B48-MIN($C$8,$B48))),MAX(0,$B48-MIN($C$8,$B48)-MIN($C$21,MAX(0,$B48-MIN($C$8,$B48)))))+$C$13*MIN($C$22/(1-$C$13),MAX(0,$B48-MIN($C$8,$B48)-MIN($C$21,MAX(0,$B48-MIN($C$8,$B48)))-MIN($C$13/(1-$C$13)*MIN($C$21,MAX(0,$B48-MIN($C$8,$B48))),MAX(0,$B48-MIN($C$8,$B48)-MIN($C$21,MAX(0,$B48-MIN($C$8,$B48)))))))+$C$14*MIN($C$16,MAX(0,$B48-MIN($C$8,$B48)-MIN($C$21,MAX(0,$B48-MIN($C$8,$B48)))-MIN($C$13/(1-$C$13)*MIN($C$21,MAX(0,$B48-MIN($C$8,$B48))),MAX(0,$B48-MIN($C$8,$B48)-MIN($C$21,MAX(0,$B48-MIN($C$8,$B48)))))-MIN($C$22/(1-$C$13),MAX(0,$B48-MIN($C$8,$B48)-MIN($C$21,MAX(0,$B48-MIN($C$8,$B48)))-MIN($C$13/(1-$C$13)*MIN($C$21,MAX(0,$B48-MIN($C$8,$B48))),MAX(0,$B48-MIN($C$8,$B48)-MIN($C$21,MAX(0,$B48-MIN($C$8,$B48)))))))))+$C$15*MAX(0,$B48-MIN($C$8,$B48)-MIN($C$21,MAX(0,$B48-MIN($C$8,$B48)))-MIN($C$13/(1-$C$13)*MIN($C$21,MAX(0,$B48-MIN($C$8,$B48))),MAX(0,$B48-MIN($C$8,$B48)-MIN($C$21,MAX(0,$B48-MIN($C$8,$B48)))))-MIN($C$22/(1-$C$13),MAX(0,$B48-MIN($C$8,$B48)-MIN($C$21,MAX(0,$B48-MIN($C$8,$B48)))-MIN($C$13/(1-$C$13)*MIN($C$21,MAX(0,$B48-MIN($C$8,$B48))),MAX(0,$B48-MIN($C$8,$B48)-MIN($C$21,MAX(0,$B48-MIN($C$8,$B48)))))))-MIN($C$16,MAX(0,$B48-MIN($C$8,$B48)-MIN($C$21,MAX(0,$B48-MIN($C$8,$B48)))-MIN($C$13/(1-$C$13)*MIN($C$21,MAX(0,$B48-MIN($C$8,$B48))),MAX(0,$B48-MIN($C$8,$B48)-MIN($C$21,MAX(0,$B48-MIN($C$8,$B48)))))-MIN($C$22/(1-$C$13),MAX(0,$B48-MIN($C$8,$B48)-MIN($C$21,MAX(0,$B48-MIN($C$8,$B48)))-MIN($C$13/(1-$C$13)*MIN($C$21,MAX(0,$B48-MIN($C$8,$B48))),MAX(0,$B48-MIN($C$8,$B48)-MIN($C$21,MAX(0,$B48-MIN($C$8,$B48))))))))))</f>
        <v>146790175.78125</v>
      </c>
      <c r="E48" s="15" t="n">
        <f aca="false">IFERROR(D48/MAX(1,$B48-$C$8),0)</f>
        <v>0.209700251116071</v>
      </c>
      <c r="F48" s="22" t="n">
        <f aca="false">IFERROR((C48/$C$8)^(1/$C$10)-1,0)</f>
        <v>0.160670588272943</v>
      </c>
      <c r="G48" s="4" t="str">
        <f aca="false">IF(MAX(0,$B48-MIN($C$8,$B48)-MIN($C$21,MAX(0,$B48-MIN($C$8,$B48)))-MIN($C$13/(1-$C$13)*MIN($C$21,MAX(0,$B48-MIN($C$8,$B48))),MAX(0,$B48-MIN($C$8,$B48)-MIN($C$21,MAX(0,$B48-MIN($C$8,$B48)))))-MIN($C$22/(1-$C$13),MAX(0,$B48-MIN($C$8,$B48)-MIN($C$21,MAX(0,$B48-MIN($C$8,$B48)))-MIN($C$13/(1-$C$13)*MIN($C$21,MAX(0,$B48-MIN($C$8,$B48))),MAX(0,$B48-MIN($C$8,$B48)-MIN($C$21,MAX(0,$B48-MIN($C$8,$B48)))))))-MIN($C$16,MAX(0,$B48-MIN($C$8,$B48)-MIN($C$21,MAX(0,$B48-MIN($C$8,$B48)))-MIN($C$13/(1-$C$13)*MIN($C$21,MAX(0,$B48-MIN($C$8,$B48))),MAX(0,$B48-MIN($C$8,$B48)-MIN($C$21,MAX(0,$B48-MIN($C$8,$B48)))))-MIN($C$22/(1-$C$13),MAX(0,$B48-MIN($C$8,$B48)-MIN($C$21,MAX(0,$B48-MIN($C$8,$B48)))-MIN($C$13/(1-$C$13)*MIN($C$21,MAX(0,$B48-MIN($C$8,$B48))),MAX(0,$B48-MIN($C$8,$B48)-MIN($C$21,MAX(0,$B48-MIN($C$8,$B48))))))))))&gt;0,"60/40",IF(MIN($C$16,MAX(0,$B48-MIN($C$8,$B48)-MIN($C$21,MAX(0,$B48-MIN($C$8,$B48)))-MIN($C$13/(1-$C$13)*MIN($C$21,MAX(0,$B48-MIN($C$8,$B48))),MAX(0,$B48-MIN($C$8,$B48)-MIN($C$21,MAX(0,$B48-MIN($C$8,$B48)))))-MIN($C$22/(1-$C$13),MAX(0,$B48-MIN($C$8,$B48)-MIN($C$21,MAX(0,$B48-MIN($C$8,$B48)))-MIN($C$13/(1-$C$13)*MIN($C$21,MAX(0,$B48-MIN($C$8,$B48))),MAX(0,$B48-MIN($C$8,$B48)-MIN($C$21,MAX(0,$B48-MIN($C$8,$B48)))))))))&gt;0,"70/30",IF(MIN($C$22/(1-$C$13),MAX(0,$B48-MIN($C$8,$B48)-MIN($C$21,MAX(0,$B48-MIN($C$8,$B48)))-MIN($C$13/(1-$C$13)*MIN($C$21,MAX(0,$B48-MIN($C$8,$B48))),MAX(0,$B48-MIN($C$8,$B48)-MIN($C$21,MAX(0,$B48-MIN($C$8,$B48)))))))&gt;0,"80/20","Pref not cleared")))</f>
        <v>70/30</v>
      </c>
    </row>
    <row r="49" customFormat="false" ht="15" hidden="false" customHeight="false" outlineLevel="0" collapsed="false">
      <c r="B49" s="9" t="n">
        <v>1500000000</v>
      </c>
      <c r="C49" s="11" t="n">
        <f aca="false">MIN($C$8,$B49)+MIN($C$21,MAX(0,$B49-MIN($C$8,$B49)))+(1-$C$13)*MIN($C$22/(1-$C$13),MAX(0,$B49-MIN($C$8,$B49)-MIN($C$21,MAX(0,$B49-MIN($C$8,$B49)))-MIN($C$13/(1-$C$13)*MIN($C$21,MAX(0,$B49-MIN($C$8,$B49))),MAX(0,$B49-MIN($C$8,$B49)-MIN($C$21,MAX(0,$B49-MIN($C$8,$B49)))))))+(1-$C$14)*MIN($C$16,MAX(0,$B49-MIN($C$8,$B49)-MIN($C$21,MAX(0,$B49-MIN($C$8,$B49)))-MIN($C$13/(1-$C$13)*MIN($C$21,MAX(0,$B49-MIN($C$8,$B49))),MAX(0,$B49-MIN($C$8,$B49)-MIN($C$21,MAX(0,$B49-MIN($C$8,$B49)))))-MIN($C$22/(1-$C$13),MAX(0,$B49-MIN($C$8,$B49)-MIN($C$21,MAX(0,$B49-MIN($C$8,$B49)))-MIN($C$13/(1-$C$13)*MIN($C$21,MAX(0,$B49-MIN($C$8,$B49))),MAX(0,$B49-MIN($C$8,$B49)-MIN($C$21,MAX(0,$B49-MIN($C$8,$B49)))))))))+(1-$C$15)*MAX(0,$B49-MIN($C$8,$B49)-MIN($C$21,MAX(0,$B49-MIN($C$8,$B49)))-MIN($C$13/(1-$C$13)*MIN($C$21,MAX(0,$B49-MIN($C$8,$B49))),MAX(0,$B49-MIN($C$8,$B49)-MIN($C$21,MAX(0,$B49-MIN($C$8,$B49)))))-MIN($C$22/(1-$C$13),MAX(0,$B49-MIN($C$8,$B49)-MIN($C$21,MAX(0,$B49-MIN($C$8,$B49)))-MIN($C$13/(1-$C$13)*MIN($C$21,MAX(0,$B49-MIN($C$8,$B49))),MAX(0,$B49-MIN($C$8,$B49)-MIN($C$21,MAX(0,$B49-MIN($C$8,$B49)))))))-MIN($C$16,MAX(0,$B49-MIN($C$8,$B49)-MIN($C$21,MAX(0,$B49-MIN($C$8,$B49)))-MIN($C$13/(1-$C$13)*MIN($C$21,MAX(0,$B49-MIN($C$8,$B49))),MAX(0,$B49-MIN($C$8,$B49)-MIN($C$21,MAX(0,$B49-MIN($C$8,$B49)))))-MIN($C$22/(1-$C$13),MAX(0,$B49-MIN($C$8,$B49)-MIN($C$21,MAX(0,$B49-MIN($C$8,$B49)))-MIN($C$13/(1-$C$13)*MIN($C$21,MAX(0,$B49-MIN($C$8,$B49))),MAX(0,$B49-MIN($C$8,$B49)-MIN($C$21,MAX(0,$B49-MIN($C$8,$B49))))))))))</f>
        <v>1256419648.4375</v>
      </c>
      <c r="D49" s="11" t="n">
        <f aca="false">MIN($C$13/(1-$C$13)*MIN($C$21,MAX(0,$B49-MIN($C$8,$B49))),MAX(0,$B49-MIN($C$8,$B49)-MIN($C$21,MAX(0,$B49-MIN($C$8,$B49)))))+$C$13*MIN($C$22/(1-$C$13),MAX(0,$B49-MIN($C$8,$B49)-MIN($C$21,MAX(0,$B49-MIN($C$8,$B49)))-MIN($C$13/(1-$C$13)*MIN($C$21,MAX(0,$B49-MIN($C$8,$B49))),MAX(0,$B49-MIN($C$8,$B49)-MIN($C$21,MAX(0,$B49-MIN($C$8,$B49)))))))+$C$14*MIN($C$16,MAX(0,$B49-MIN($C$8,$B49)-MIN($C$21,MAX(0,$B49-MIN($C$8,$B49)))-MIN($C$13/(1-$C$13)*MIN($C$21,MAX(0,$B49-MIN($C$8,$B49))),MAX(0,$B49-MIN($C$8,$B49)-MIN($C$21,MAX(0,$B49-MIN($C$8,$B49)))))-MIN($C$22/(1-$C$13),MAX(0,$B49-MIN($C$8,$B49)-MIN($C$21,MAX(0,$B49-MIN($C$8,$B49)))-MIN($C$13/(1-$C$13)*MIN($C$21,MAX(0,$B49-MIN($C$8,$B49))),MAX(0,$B49-MIN($C$8,$B49)-MIN($C$21,MAX(0,$B49-MIN($C$8,$B49)))))))))+$C$15*MAX(0,$B49-MIN($C$8,$B49)-MIN($C$21,MAX(0,$B49-MIN($C$8,$B49)))-MIN($C$13/(1-$C$13)*MIN($C$21,MAX(0,$B49-MIN($C$8,$B49))),MAX(0,$B49-MIN($C$8,$B49)-MIN($C$21,MAX(0,$B49-MIN($C$8,$B49)))))-MIN($C$22/(1-$C$13),MAX(0,$B49-MIN($C$8,$B49)-MIN($C$21,MAX(0,$B49-MIN($C$8,$B49)))-MIN($C$13/(1-$C$13)*MIN($C$21,MAX(0,$B49-MIN($C$8,$B49))),MAX(0,$B49-MIN($C$8,$B49)-MIN($C$21,MAX(0,$B49-MIN($C$8,$B49)))))))-MIN($C$16,MAX(0,$B49-MIN($C$8,$B49)-MIN($C$21,MAX(0,$B49-MIN($C$8,$B49)))-MIN($C$13/(1-$C$13)*MIN($C$21,MAX(0,$B49-MIN($C$8,$B49))),MAX(0,$B49-MIN($C$8,$B49)-MIN($C$21,MAX(0,$B49-MIN($C$8,$B49)))))-MIN($C$22/(1-$C$13),MAX(0,$B49-MIN($C$8,$B49)-MIN($C$21,MAX(0,$B49-MIN($C$8,$B49)))-MIN($C$13/(1-$C$13)*MIN($C$21,MAX(0,$B49-MIN($C$8,$B49))),MAX(0,$B49-MIN($C$8,$B49)-MIN($C$21,MAX(0,$B49-MIN($C$8,$B49))))))))))</f>
        <v>243580351.5625</v>
      </c>
      <c r="E49" s="15" t="n">
        <f aca="false">IFERROR(D49/MAX(1,$B49-$C$8),0)</f>
        <v>0.2435803515625</v>
      </c>
      <c r="F49" s="22" t="n">
        <f aca="false">IFERROR((C49/$C$8)^(1/$C$10)-1,0)</f>
        <v>0.202355634787585</v>
      </c>
      <c r="G49" s="4" t="str">
        <f aca="false">IF(MAX(0,$B49-MIN($C$8,$B49)-MIN($C$21,MAX(0,$B49-MIN($C$8,$B49)))-MIN($C$13/(1-$C$13)*MIN($C$21,MAX(0,$B49-MIN($C$8,$B49))),MAX(0,$B49-MIN($C$8,$B49)-MIN($C$21,MAX(0,$B49-MIN($C$8,$B49)))))-MIN($C$22/(1-$C$13),MAX(0,$B49-MIN($C$8,$B49)-MIN($C$21,MAX(0,$B49-MIN($C$8,$B49)))-MIN($C$13/(1-$C$13)*MIN($C$21,MAX(0,$B49-MIN($C$8,$B49))),MAX(0,$B49-MIN($C$8,$B49)-MIN($C$21,MAX(0,$B49-MIN($C$8,$B49)))))))-MIN($C$16,MAX(0,$B49-MIN($C$8,$B49)-MIN($C$21,MAX(0,$B49-MIN($C$8,$B49)))-MIN($C$13/(1-$C$13)*MIN($C$21,MAX(0,$B49-MIN($C$8,$B49))),MAX(0,$B49-MIN($C$8,$B49)-MIN($C$21,MAX(0,$B49-MIN($C$8,$B49)))))-MIN($C$22/(1-$C$13),MAX(0,$B49-MIN($C$8,$B49)-MIN($C$21,MAX(0,$B49-MIN($C$8,$B49)))-MIN($C$13/(1-$C$13)*MIN($C$21,MAX(0,$B49-MIN($C$8,$B49))),MAX(0,$B49-MIN($C$8,$B49)-MIN($C$21,MAX(0,$B49-MIN($C$8,$B49))))))))))&gt;0,"60/40",IF(MIN($C$16,MAX(0,$B49-MIN($C$8,$B49)-MIN($C$21,MAX(0,$B49-MIN($C$8,$B49)))-MIN($C$13/(1-$C$13)*MIN($C$21,MAX(0,$B49-MIN($C$8,$B49))),MAX(0,$B49-MIN($C$8,$B49)-MIN($C$21,MAX(0,$B49-MIN($C$8,$B49)))))-MIN($C$22/(1-$C$13),MAX(0,$B49-MIN($C$8,$B49)-MIN($C$21,MAX(0,$B49-MIN($C$8,$B49)))-MIN($C$13/(1-$C$13)*MIN($C$21,MAX(0,$B49-MIN($C$8,$B49))),MAX(0,$B49-MIN($C$8,$B49)-MIN($C$21,MAX(0,$B49-MIN($C$8,$B49)))))))))&gt;0,"70/30",IF(MIN($C$22/(1-$C$13),MAX(0,$B49-MIN($C$8,$B49)-MIN($C$21,MAX(0,$B49-MIN($C$8,$B49)))-MIN($C$13/(1-$C$13)*MIN($C$21,MAX(0,$B49-MIN($C$8,$B49))),MAX(0,$B49-MIN($C$8,$B49)-MIN($C$21,MAX(0,$B49-MIN($C$8,$B49)))))))&gt;0,"80/20","Pref not cleared")))</f>
        <v>60/40</v>
      </c>
    </row>
    <row r="50" customFormat="false" ht="15" hidden="false" customHeight="false" outlineLevel="0" collapsed="false">
      <c r="B50" s="9" t="n">
        <v>2000000000</v>
      </c>
      <c r="C50" s="11" t="n">
        <f aca="false">MIN($C$8,$B50)+MIN($C$21,MAX(0,$B50-MIN($C$8,$B50)))+(1-$C$13)*MIN($C$22/(1-$C$13),MAX(0,$B50-MIN($C$8,$B50)-MIN($C$21,MAX(0,$B50-MIN($C$8,$B50)))-MIN($C$13/(1-$C$13)*MIN($C$21,MAX(0,$B50-MIN($C$8,$B50))),MAX(0,$B50-MIN($C$8,$B50)-MIN($C$21,MAX(0,$B50-MIN($C$8,$B50)))))))+(1-$C$14)*MIN($C$16,MAX(0,$B50-MIN($C$8,$B50)-MIN($C$21,MAX(0,$B50-MIN($C$8,$B50)))-MIN($C$13/(1-$C$13)*MIN($C$21,MAX(0,$B50-MIN($C$8,$B50))),MAX(0,$B50-MIN($C$8,$B50)-MIN($C$21,MAX(0,$B50-MIN($C$8,$B50)))))-MIN($C$22/(1-$C$13),MAX(0,$B50-MIN($C$8,$B50)-MIN($C$21,MAX(0,$B50-MIN($C$8,$B50)))-MIN($C$13/(1-$C$13)*MIN($C$21,MAX(0,$B50-MIN($C$8,$B50))),MAX(0,$B50-MIN($C$8,$B50)-MIN($C$21,MAX(0,$B50-MIN($C$8,$B50)))))))))+(1-$C$15)*MAX(0,$B50-MIN($C$8,$B50)-MIN($C$21,MAX(0,$B50-MIN($C$8,$B50)))-MIN($C$13/(1-$C$13)*MIN($C$21,MAX(0,$B50-MIN($C$8,$B50))),MAX(0,$B50-MIN($C$8,$B50)-MIN($C$21,MAX(0,$B50-MIN($C$8,$B50)))))-MIN($C$22/(1-$C$13),MAX(0,$B50-MIN($C$8,$B50)-MIN($C$21,MAX(0,$B50-MIN($C$8,$B50)))-MIN($C$13/(1-$C$13)*MIN($C$21,MAX(0,$B50-MIN($C$8,$B50))),MAX(0,$B50-MIN($C$8,$B50)-MIN($C$21,MAX(0,$B50-MIN($C$8,$B50)))))))-MIN($C$16,MAX(0,$B50-MIN($C$8,$B50)-MIN($C$21,MAX(0,$B50-MIN($C$8,$B50)))-MIN($C$13/(1-$C$13)*MIN($C$21,MAX(0,$B50-MIN($C$8,$B50))),MAX(0,$B50-MIN($C$8,$B50)-MIN($C$21,MAX(0,$B50-MIN($C$8,$B50)))))-MIN($C$22/(1-$C$13),MAX(0,$B50-MIN($C$8,$B50)-MIN($C$21,MAX(0,$B50-MIN($C$8,$B50)))-MIN($C$13/(1-$C$13)*MIN($C$21,MAX(0,$B50-MIN($C$8,$B50))),MAX(0,$B50-MIN($C$8,$B50)-MIN($C$21,MAX(0,$B50-MIN($C$8,$B50))))))))))</f>
        <v>1556419648.4375</v>
      </c>
      <c r="D50" s="11" t="n">
        <f aca="false">MIN($C$13/(1-$C$13)*MIN($C$21,MAX(0,$B50-MIN($C$8,$B50))),MAX(0,$B50-MIN($C$8,$B50)-MIN($C$21,MAX(0,$B50-MIN($C$8,$B50)))))+$C$13*MIN($C$22/(1-$C$13),MAX(0,$B50-MIN($C$8,$B50)-MIN($C$21,MAX(0,$B50-MIN($C$8,$B50)))-MIN($C$13/(1-$C$13)*MIN($C$21,MAX(0,$B50-MIN($C$8,$B50))),MAX(0,$B50-MIN($C$8,$B50)-MIN($C$21,MAX(0,$B50-MIN($C$8,$B50)))))))+$C$14*MIN($C$16,MAX(0,$B50-MIN($C$8,$B50)-MIN($C$21,MAX(0,$B50-MIN($C$8,$B50)))-MIN($C$13/(1-$C$13)*MIN($C$21,MAX(0,$B50-MIN($C$8,$B50))),MAX(0,$B50-MIN($C$8,$B50)-MIN($C$21,MAX(0,$B50-MIN($C$8,$B50)))))-MIN($C$22/(1-$C$13),MAX(0,$B50-MIN($C$8,$B50)-MIN($C$21,MAX(0,$B50-MIN($C$8,$B50)))-MIN($C$13/(1-$C$13)*MIN($C$21,MAX(0,$B50-MIN($C$8,$B50))),MAX(0,$B50-MIN($C$8,$B50)-MIN($C$21,MAX(0,$B50-MIN($C$8,$B50)))))))))+$C$15*MAX(0,$B50-MIN($C$8,$B50)-MIN($C$21,MAX(0,$B50-MIN($C$8,$B50)))-MIN($C$13/(1-$C$13)*MIN($C$21,MAX(0,$B50-MIN($C$8,$B50))),MAX(0,$B50-MIN($C$8,$B50)-MIN($C$21,MAX(0,$B50-MIN($C$8,$B50)))))-MIN($C$22/(1-$C$13),MAX(0,$B50-MIN($C$8,$B50)-MIN($C$21,MAX(0,$B50-MIN($C$8,$B50)))-MIN($C$13/(1-$C$13)*MIN($C$21,MAX(0,$B50-MIN($C$8,$B50))),MAX(0,$B50-MIN($C$8,$B50)-MIN($C$21,MAX(0,$B50-MIN($C$8,$B50)))))))-MIN($C$16,MAX(0,$B50-MIN($C$8,$B50)-MIN($C$21,MAX(0,$B50-MIN($C$8,$B50)))-MIN($C$13/(1-$C$13)*MIN($C$21,MAX(0,$B50-MIN($C$8,$B50))),MAX(0,$B50-MIN($C$8,$B50)-MIN($C$21,MAX(0,$B50-MIN($C$8,$B50)))))-MIN($C$22/(1-$C$13),MAX(0,$B50-MIN($C$8,$B50)-MIN($C$21,MAX(0,$B50-MIN($C$8,$B50)))-MIN($C$13/(1-$C$13)*MIN($C$21,MAX(0,$B50-MIN($C$8,$B50))),MAX(0,$B50-MIN($C$8,$B50)-MIN($C$21,MAX(0,$B50-MIN($C$8,$B50))))))))))</f>
        <v>443580351.5625</v>
      </c>
      <c r="E50" s="15" t="n">
        <f aca="false">IFERROR(D50/MAX(1,$B50-$C$8),0)</f>
        <v>0.295720234375</v>
      </c>
      <c r="F50" s="22" t="n">
        <f aca="false">IFERROR((C50/$C$8)^(1/$C$10)-1,0)</f>
        <v>0.254964208908093</v>
      </c>
      <c r="G50" s="4" t="str">
        <f aca="false">IF(MAX(0,$B50-MIN($C$8,$B50)-MIN($C$21,MAX(0,$B50-MIN($C$8,$B50)))-MIN($C$13/(1-$C$13)*MIN($C$21,MAX(0,$B50-MIN($C$8,$B50))),MAX(0,$B50-MIN($C$8,$B50)-MIN($C$21,MAX(0,$B50-MIN($C$8,$B50)))))-MIN($C$22/(1-$C$13),MAX(0,$B50-MIN($C$8,$B50)-MIN($C$21,MAX(0,$B50-MIN($C$8,$B50)))-MIN($C$13/(1-$C$13)*MIN($C$21,MAX(0,$B50-MIN($C$8,$B50))),MAX(0,$B50-MIN($C$8,$B50)-MIN($C$21,MAX(0,$B50-MIN($C$8,$B50)))))))-MIN($C$16,MAX(0,$B50-MIN($C$8,$B50)-MIN($C$21,MAX(0,$B50-MIN($C$8,$B50)))-MIN($C$13/(1-$C$13)*MIN($C$21,MAX(0,$B50-MIN($C$8,$B50))),MAX(0,$B50-MIN($C$8,$B50)-MIN($C$21,MAX(0,$B50-MIN($C$8,$B50)))))-MIN($C$22/(1-$C$13),MAX(0,$B50-MIN($C$8,$B50)-MIN($C$21,MAX(0,$B50-MIN($C$8,$B50)))-MIN($C$13/(1-$C$13)*MIN($C$21,MAX(0,$B50-MIN($C$8,$B50))),MAX(0,$B50-MIN($C$8,$B50)-MIN($C$21,MAX(0,$B50-MIN($C$8,$B50))))))))))&gt;0,"60/40",IF(MIN($C$16,MAX(0,$B50-MIN($C$8,$B50)-MIN($C$21,MAX(0,$B50-MIN($C$8,$B50)))-MIN($C$13/(1-$C$13)*MIN($C$21,MAX(0,$B50-MIN($C$8,$B50))),MAX(0,$B50-MIN($C$8,$B50)-MIN($C$21,MAX(0,$B50-MIN($C$8,$B50)))))-MIN($C$22/(1-$C$13),MAX(0,$B50-MIN($C$8,$B50)-MIN($C$21,MAX(0,$B50-MIN($C$8,$B50)))-MIN($C$13/(1-$C$13)*MIN($C$21,MAX(0,$B50-MIN($C$8,$B50))),MAX(0,$B50-MIN($C$8,$B50)-MIN($C$21,MAX(0,$B50-MIN($C$8,$B50)))))))))&gt;0,"70/30",IF(MIN($C$22/(1-$C$13),MAX(0,$B50-MIN($C$8,$B50)-MIN($C$21,MAX(0,$B50-MIN($C$8,$B50)))-MIN($C$13/(1-$C$13)*MIN($C$21,MAX(0,$B50-MIN($C$8,$B50))),MAX(0,$B50-MIN($C$8,$B50)-MIN($C$21,MAX(0,$B50-MIN($C$8,$B50)))))))&gt;0,"80/20","Pref not cleared")))</f>
        <v>60/40</v>
      </c>
    </row>
    <row r="52" customFormat="false" ht="15" hidden="false" customHeight="true" outlineLevel="0" collapsed="false">
      <c r="B52" s="23" t="s">
        <v>205</v>
      </c>
      <c r="C52" s="23"/>
      <c r="D52" s="23"/>
      <c r="E52" s="23"/>
      <c r="F52" s="23"/>
      <c r="G52" s="23"/>
    </row>
  </sheetData>
  <mergeCells count="3">
    <mergeCell ref="B4:G4"/>
    <mergeCell ref="B42:G42"/>
    <mergeCell ref="B52:G5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7" min="3" style="0" width="15"/>
    <col collapsed="false" customWidth="true" hidden="false" outlineLevel="0" max="8" min="8" style="0" width="50"/>
  </cols>
  <sheetData>
    <row r="2" customFormat="false" ht="32.8" hidden="false" customHeight="false" outlineLevel="0" collapsed="false">
      <c r="B2" s="1" t="s">
        <v>206</v>
      </c>
    </row>
    <row r="4" customFormat="false" ht="43.5" hidden="false" customHeight="true" outlineLevel="0" collapsed="false">
      <c r="B4" s="6" t="s">
        <v>207</v>
      </c>
      <c r="C4" s="6"/>
      <c r="D4" s="6"/>
      <c r="E4" s="6"/>
      <c r="F4" s="6"/>
      <c r="G4" s="6"/>
      <c r="H4" s="6"/>
    </row>
    <row r="6" customFormat="false" ht="15" hidden="false" customHeight="false" outlineLevel="0" collapsed="false">
      <c r="B6" s="3" t="s">
        <v>19</v>
      </c>
    </row>
    <row r="7" customFormat="false" ht="27.75" hidden="false" customHeight="true" outlineLevel="0" collapsed="false">
      <c r="B7" s="7"/>
      <c r="C7" s="7" t="s">
        <v>20</v>
      </c>
      <c r="H7" s="7" t="s">
        <v>21</v>
      </c>
    </row>
    <row r="8" customFormat="false" ht="15" hidden="false" customHeight="false" outlineLevel="0" collapsed="false">
      <c r="B8" s="8" t="s">
        <v>208</v>
      </c>
      <c r="C8" s="9" t="n">
        <v>100000000</v>
      </c>
      <c r="H8" s="5" t="s">
        <v>209</v>
      </c>
    </row>
    <row r="9" customFormat="false" ht="15" hidden="false" customHeight="false" outlineLevel="0" collapsed="false">
      <c r="B9" s="8" t="s">
        <v>210</v>
      </c>
      <c r="C9" s="21" t="n">
        <v>0.08</v>
      </c>
      <c r="H9" s="5" t="s">
        <v>211</v>
      </c>
    </row>
    <row r="10" customFormat="false" ht="15" hidden="false" customHeight="false" outlineLevel="0" collapsed="false">
      <c r="B10" s="8" t="s">
        <v>212</v>
      </c>
      <c r="C10" s="17" t="n">
        <v>10</v>
      </c>
      <c r="H10" s="5" t="s">
        <v>213</v>
      </c>
    </row>
    <row r="12" customFormat="false" ht="27.75" hidden="false" customHeight="true" outlineLevel="0" collapsed="false">
      <c r="B12" s="7" t="s">
        <v>214</v>
      </c>
      <c r="C12" s="7" t="s">
        <v>215</v>
      </c>
      <c r="D12" s="7" t="s">
        <v>216</v>
      </c>
      <c r="E12" s="7" t="s">
        <v>217</v>
      </c>
      <c r="F12" s="7" t="s">
        <v>218</v>
      </c>
      <c r="G12" s="7" t="s">
        <v>219</v>
      </c>
      <c r="H12" s="7" t="s">
        <v>49</v>
      </c>
    </row>
    <row r="13" customFormat="false" ht="15" hidden="false" customHeight="false" outlineLevel="0" collapsed="false">
      <c r="B13" s="8" t="s">
        <v>220</v>
      </c>
      <c r="C13" s="9" t="n">
        <v>30000000</v>
      </c>
      <c r="D13" s="17" t="n">
        <v>2</v>
      </c>
      <c r="E13" s="24" t="n">
        <f aca="false">MAX(0,$C$10-D13)</f>
        <v>8</v>
      </c>
      <c r="F13" s="11" t="n">
        <f aca="false">C13*((1+$C$9)^E13-1)</f>
        <v>25527906.3084565</v>
      </c>
      <c r="G13" s="11" t="n">
        <f aca="false">C13*((1+$C$9/4)^(4*E13)-1)</f>
        <v>26536217.7630339</v>
      </c>
      <c r="H13" s="5" t="s">
        <v>221</v>
      </c>
    </row>
    <row r="14" customFormat="false" ht="15" hidden="false" customHeight="false" outlineLevel="0" collapsed="false">
      <c r="B14" s="8" t="s">
        <v>222</v>
      </c>
      <c r="C14" s="9" t="n">
        <v>40000000</v>
      </c>
      <c r="D14" s="17" t="n">
        <v>4</v>
      </c>
      <c r="E14" s="24" t="n">
        <f aca="false">MAX(0,$C$10-D14)</f>
        <v>6</v>
      </c>
      <c r="F14" s="11" t="n">
        <f aca="false">C14*((1+$C$9)^E14-1)</f>
        <v>23474972.91776</v>
      </c>
      <c r="G14" s="11" t="n">
        <f aca="false">C14*((1+$C$9/4)^(4*E14)-1)</f>
        <v>24337489.979009</v>
      </c>
      <c r="H14" s="5" t="s">
        <v>223</v>
      </c>
    </row>
    <row r="15" customFormat="false" ht="15" hidden="false" customHeight="false" outlineLevel="0" collapsed="false">
      <c r="B15" s="8" t="s">
        <v>224</v>
      </c>
      <c r="C15" s="9" t="n">
        <v>30000000</v>
      </c>
      <c r="D15" s="17" t="n">
        <v>5</v>
      </c>
      <c r="E15" s="24" t="n">
        <f aca="false">MAX(0,$C$10-D15)</f>
        <v>5</v>
      </c>
      <c r="F15" s="11" t="n">
        <f aca="false">C15*((1+$C$9)^E15-1)</f>
        <v>14079842.304</v>
      </c>
      <c r="G15" s="11" t="n">
        <f aca="false">C15*((1+$C$9/4)^(4*E15)-1)</f>
        <v>14578421.8793506</v>
      </c>
      <c r="H15" s="5" t="s">
        <v>225</v>
      </c>
    </row>
    <row r="16" customFormat="false" ht="15" hidden="false" customHeight="false" outlineLevel="0" collapsed="false">
      <c r="B16" s="12" t="s">
        <v>226</v>
      </c>
      <c r="C16" s="13" t="n">
        <f aca="false">SUM(C13:C15)</f>
        <v>100000000</v>
      </c>
      <c r="D16" s="14"/>
      <c r="E16" s="14"/>
      <c r="F16" s="13" t="n">
        <f aca="false">SUM(F13:F15)</f>
        <v>63082721.5302165</v>
      </c>
      <c r="G16" s="13" t="n">
        <f aca="false">SUM(G13:G15)</f>
        <v>65452129.6213936</v>
      </c>
      <c r="H16" s="14"/>
    </row>
    <row r="17" customFormat="false" ht="22.35" hidden="false" customHeight="false" outlineLevel="0" collapsed="false">
      <c r="B17" s="8" t="s">
        <v>227</v>
      </c>
      <c r="C17" s="11" t="n">
        <f aca="false">$C$8-C16</f>
        <v>0</v>
      </c>
      <c r="H17" s="5" t="s">
        <v>228</v>
      </c>
    </row>
    <row r="19" customFormat="false" ht="26.85" hidden="false" customHeight="false" outlineLevel="0" collapsed="false">
      <c r="B19" s="3" t="s">
        <v>229</v>
      </c>
    </row>
    <row r="20" customFormat="false" ht="27.75" hidden="false" customHeight="true" outlineLevel="0" collapsed="false">
      <c r="B20" s="7"/>
      <c r="C20" s="7" t="s">
        <v>20</v>
      </c>
      <c r="H20" s="7" t="s">
        <v>49</v>
      </c>
    </row>
    <row r="21" customFormat="false" ht="15" hidden="false" customHeight="false" outlineLevel="0" collapsed="false">
      <c r="B21" s="8" t="s">
        <v>230</v>
      </c>
      <c r="C21" s="11" t="n">
        <f aca="false">F16</f>
        <v>63082721.5302165</v>
      </c>
      <c r="H21" s="5"/>
    </row>
    <row r="22" customFormat="false" ht="15" hidden="false" customHeight="false" outlineLevel="0" collapsed="false">
      <c r="B22" s="8" t="s">
        <v>231</v>
      </c>
      <c r="C22" s="11" t="n">
        <f aca="false">G16</f>
        <v>65452129.6213936</v>
      </c>
      <c r="H22" s="5" t="s">
        <v>232</v>
      </c>
    </row>
    <row r="23" customFormat="false" ht="15" hidden="false" customHeight="false" outlineLevel="0" collapsed="false">
      <c r="B23" s="8" t="s">
        <v>233</v>
      </c>
      <c r="C23" s="11" t="n">
        <f aca="false">G16-F16</f>
        <v>2369408.09117709</v>
      </c>
      <c r="H23" s="5" t="s">
        <v>234</v>
      </c>
    </row>
    <row r="24" customFormat="false" ht="15" hidden="false" customHeight="false" outlineLevel="0" collapsed="false">
      <c r="B24" s="8" t="s">
        <v>235</v>
      </c>
      <c r="C24" s="15" t="n">
        <f aca="false">IFERROR(G16/F16-1,0)</f>
        <v>0.0375603340138417</v>
      </c>
      <c r="H24" s="5"/>
    </row>
    <row r="25" customFormat="false" ht="22.35" hidden="false" customHeight="false" outlineLevel="0" collapsed="false">
      <c r="B25" s="8" t="s">
        <v>236</v>
      </c>
      <c r="C25" s="11" t="n">
        <f aca="false">$C$8*((1+$C$9)^$C$10-1)</f>
        <v>115892499.727279</v>
      </c>
      <c r="H25" s="5" t="s">
        <v>237</v>
      </c>
    </row>
    <row r="26" customFormat="false" ht="22.35" hidden="false" customHeight="false" outlineLevel="0" collapsed="false">
      <c r="B26" s="8" t="s">
        <v>238</v>
      </c>
      <c r="C26" s="15" t="n">
        <f aca="false">IFERROR($C$8*((1+$C$9)^$C$10-1)/G16-1,0)</f>
        <v>0.770645208913085</v>
      </c>
      <c r="H26" s="5" t="s">
        <v>239</v>
      </c>
    </row>
  </sheetData>
  <mergeCells count="1">
    <mergeCell ref="B4:H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6"/>
    <col collapsed="false" customWidth="true" hidden="false" outlineLevel="0" max="4" min="3" style="0" width="18"/>
    <col collapsed="false" customWidth="true" hidden="false" outlineLevel="0" max="5" min="5" style="0" width="11"/>
    <col collapsed="false" customWidth="true" hidden="false" outlineLevel="0" max="6" min="6" style="0" width="46"/>
  </cols>
  <sheetData>
    <row r="2" customFormat="false" ht="17.35" hidden="false" customHeight="false" outlineLevel="0" collapsed="false">
      <c r="B2" s="1" t="s">
        <v>13</v>
      </c>
    </row>
    <row r="4" customFormat="false" ht="15" hidden="false" customHeight="true" outlineLevel="0" collapsed="false">
      <c r="B4" s="6" t="s">
        <v>240</v>
      </c>
      <c r="C4" s="6"/>
      <c r="D4" s="6"/>
      <c r="E4" s="6"/>
      <c r="F4" s="6"/>
    </row>
    <row r="6" customFormat="false" ht="27.75" hidden="false" customHeight="true" outlineLevel="0" collapsed="false">
      <c r="B6" s="7" t="s">
        <v>241</v>
      </c>
      <c r="C6" s="7" t="s">
        <v>242</v>
      </c>
      <c r="D6" s="7" t="s">
        <v>243</v>
      </c>
      <c r="E6" s="7" t="s">
        <v>244</v>
      </c>
      <c r="F6" s="7" t="s">
        <v>21</v>
      </c>
    </row>
    <row r="7" customFormat="false" ht="15" hidden="false" customHeight="false" outlineLevel="0" collapsed="false">
      <c r="B7" s="8" t="s">
        <v>245</v>
      </c>
      <c r="C7" s="11" t="n">
        <v>500000000</v>
      </c>
      <c r="D7" s="11" t="n">
        <f aca="false">'Example 1'!$C$17</f>
        <v>500000000</v>
      </c>
      <c r="E7" s="25" t="str">
        <f aca="false">IF(ABS(D7-C7)&lt;=1,"OK","ECART")</f>
        <v>OK</v>
      </c>
      <c r="F7" s="5" t="s">
        <v>246</v>
      </c>
    </row>
    <row r="8" customFormat="false" ht="15" hidden="false" customHeight="false" outlineLevel="0" collapsed="false">
      <c r="B8" s="8" t="s">
        <v>247</v>
      </c>
      <c r="C8" s="11" t="n">
        <v>200000000</v>
      </c>
      <c r="D8" s="11" t="n">
        <f aca="false">'Example 1'!$C$18</f>
        <v>200000000</v>
      </c>
      <c r="E8" s="25" t="str">
        <f aca="false">IF(ABS(D8-C8)&lt;=1,"OK","ECART")</f>
        <v>OK</v>
      </c>
      <c r="F8" s="5" t="s">
        <v>248</v>
      </c>
    </row>
    <row r="9" customFormat="false" ht="15" hidden="false" customHeight="false" outlineLevel="0" collapsed="false">
      <c r="B9" s="8" t="s">
        <v>249</v>
      </c>
      <c r="C9" s="11" t="n">
        <v>50000000</v>
      </c>
      <c r="D9" s="11" t="n">
        <f aca="false">'Example 1'!$D$19</f>
        <v>50000000</v>
      </c>
      <c r="E9" s="25" t="str">
        <f aca="false">IF(ABS(D9-C9)&lt;=1,"OK","ECART")</f>
        <v>OK</v>
      </c>
      <c r="F9" s="5" t="s">
        <v>250</v>
      </c>
    </row>
    <row r="10" customFormat="false" ht="15" hidden="false" customHeight="false" outlineLevel="0" collapsed="false">
      <c r="B10" s="8" t="s">
        <v>251</v>
      </c>
      <c r="C10" s="11" t="n">
        <v>250000000</v>
      </c>
      <c r="D10" s="11" t="n">
        <f aca="false">'Example 1'!$E$19</f>
        <v>250000000</v>
      </c>
      <c r="E10" s="25" t="str">
        <f aca="false">IF(ABS(D10-C10)&lt;=1,"OK","ECART")</f>
        <v>OK</v>
      </c>
      <c r="F10" s="5" t="s">
        <v>252</v>
      </c>
    </row>
    <row r="11" customFormat="false" ht="15" hidden="false" customHeight="false" outlineLevel="0" collapsed="false">
      <c r="B11" s="8" t="s">
        <v>253</v>
      </c>
      <c r="C11" s="11" t="n">
        <v>200000000</v>
      </c>
      <c r="D11" s="11" t="n">
        <f aca="false">'Example 1'!$C$20</f>
        <v>200000000</v>
      </c>
      <c r="E11" s="25" t="str">
        <f aca="false">IF(ABS(D11-C11)&lt;=1,"OK","ECART")</f>
        <v>OK</v>
      </c>
      <c r="F11" s="5" t="s">
        <v>254</v>
      </c>
    </row>
    <row r="12" customFormat="false" ht="15" hidden="false" customHeight="false" outlineLevel="0" collapsed="false">
      <c r="B12" s="8" t="s">
        <v>255</v>
      </c>
      <c r="C12" s="11" t="n">
        <v>50000000</v>
      </c>
      <c r="D12" s="11" t="n">
        <f aca="false">'Example 1'!$D$20</f>
        <v>50000000</v>
      </c>
      <c r="E12" s="25" t="str">
        <f aca="false">IF(ABS(D12-C12)&lt;=1,"OK","ECART")</f>
        <v>OK</v>
      </c>
      <c r="F12" s="5" t="s">
        <v>256</v>
      </c>
    </row>
    <row r="13" customFormat="false" ht="15" hidden="false" customHeight="false" outlineLevel="0" collapsed="false">
      <c r="B13" s="8" t="s">
        <v>257</v>
      </c>
      <c r="C13" s="11" t="n">
        <v>900000000</v>
      </c>
      <c r="D13" s="11" t="n">
        <f aca="false">'Example 1'!$C$21</f>
        <v>900000000</v>
      </c>
      <c r="E13" s="25" t="str">
        <f aca="false">IF(ABS(D13-C13)&lt;=1,"OK","ECART")</f>
        <v>OK</v>
      </c>
      <c r="F13" s="5" t="s">
        <v>258</v>
      </c>
    </row>
    <row r="14" customFormat="false" ht="15" hidden="false" customHeight="false" outlineLevel="0" collapsed="false">
      <c r="B14" s="8" t="s">
        <v>259</v>
      </c>
      <c r="C14" s="11" t="n">
        <v>100000000</v>
      </c>
      <c r="D14" s="11" t="n">
        <f aca="false">'Example 1'!$D$21</f>
        <v>100000000</v>
      </c>
      <c r="E14" s="25" t="str">
        <f aca="false">IF(ABS(D14-C14)&lt;=1,"OK","ECART")</f>
        <v>OK</v>
      </c>
      <c r="F14" s="5" t="s">
        <v>260</v>
      </c>
    </row>
    <row r="15" customFormat="false" ht="15" hidden="false" customHeight="false" outlineLevel="0" collapsed="false">
      <c r="B15" s="8" t="s">
        <v>261</v>
      </c>
      <c r="C15" s="15" t="n">
        <v>0.2</v>
      </c>
      <c r="D15" s="15" t="n">
        <f aca="false">'Example 1'!$C$29</f>
        <v>0.2</v>
      </c>
      <c r="E15" s="25" t="str">
        <f aca="false">IF(ABS(D15-C15)&lt;=0.0005,"OK","ECART")</f>
        <v>OK</v>
      </c>
      <c r="F15" s="5" t="s">
        <v>262</v>
      </c>
    </row>
    <row r="16" customFormat="false" ht="15" hidden="false" customHeight="false" outlineLevel="0" collapsed="false">
      <c r="B16" s="8" t="s">
        <v>263</v>
      </c>
      <c r="C16" s="11" t="n">
        <v>735000000</v>
      </c>
      <c r="D16" s="11" t="n">
        <f aca="false">'Example 2'!$C$21</f>
        <v>735000000</v>
      </c>
      <c r="E16" s="25" t="str">
        <f aca="false">IF(ABS(D16-C16)&lt;=1,"OK","ECART")</f>
        <v>OK</v>
      </c>
      <c r="F16" s="5" t="s">
        <v>264</v>
      </c>
    </row>
    <row r="17" customFormat="false" ht="15" hidden="false" customHeight="false" outlineLevel="0" collapsed="false">
      <c r="B17" s="8" t="s">
        <v>265</v>
      </c>
      <c r="C17" s="11" t="n">
        <v>235000000</v>
      </c>
      <c r="D17" s="11" t="n">
        <f aca="false">'Example 2'!$C$22</f>
        <v>235000000</v>
      </c>
      <c r="E17" s="25" t="str">
        <f aca="false">IF(ABS(D17-C17)&lt;=1,"OK","ECART")</f>
        <v>OK</v>
      </c>
      <c r="F17" s="5" t="s">
        <v>266</v>
      </c>
    </row>
    <row r="18" customFormat="false" ht="15" hidden="false" customHeight="false" outlineLevel="0" collapsed="false">
      <c r="B18" s="8" t="s">
        <v>267</v>
      </c>
      <c r="C18" s="11" t="n">
        <v>49000000</v>
      </c>
      <c r="D18" s="11" t="n">
        <f aca="false">'Example 2'!$C$25</f>
        <v>49000000</v>
      </c>
      <c r="E18" s="25" t="str">
        <f aca="false">IF(ABS(D18-C18)&lt;=1,"OK","ECART")</f>
        <v>OK</v>
      </c>
      <c r="F18" s="5" t="s">
        <v>268</v>
      </c>
    </row>
    <row r="19" customFormat="false" ht="15" hidden="false" customHeight="false" outlineLevel="0" collapsed="false">
      <c r="B19" s="8" t="s">
        <v>269</v>
      </c>
      <c r="C19" s="11" t="n">
        <v>47000000</v>
      </c>
      <c r="D19" s="11" t="n">
        <f aca="false">'Example 2'!$C$26</f>
        <v>47000000</v>
      </c>
      <c r="E19" s="25" t="str">
        <f aca="false">IF(ABS(D19-C19)&lt;=1,"OK","ECART")</f>
        <v>OK</v>
      </c>
      <c r="F19" s="5" t="s">
        <v>270</v>
      </c>
    </row>
    <row r="20" customFormat="false" ht="15" hidden="false" customHeight="false" outlineLevel="0" collapsed="false">
      <c r="B20" s="8" t="s">
        <v>271</v>
      </c>
      <c r="C20" s="11" t="n">
        <v>2000000</v>
      </c>
      <c r="D20" s="11" t="n">
        <f aca="false">'Example 2'!$C$28</f>
        <v>2000000</v>
      </c>
      <c r="E20" s="25" t="str">
        <f aca="false">IF(ABS(D20-C20)&lt;=1,"OK","ECART")</f>
        <v>OK</v>
      </c>
      <c r="F20" s="5" t="s">
        <v>272</v>
      </c>
    </row>
    <row r="21" customFormat="false" ht="15" hidden="false" customHeight="false" outlineLevel="0" collapsed="false">
      <c r="B21" s="8" t="s">
        <v>273</v>
      </c>
      <c r="C21" s="11" t="n">
        <v>688000000</v>
      </c>
      <c r="D21" s="11" t="n">
        <f aca="false">'Example 2'!$C$32</f>
        <v>688000000</v>
      </c>
      <c r="E21" s="25" t="str">
        <f aca="false">IF(ABS(D21-C21)&lt;=1,"OK","ECART")</f>
        <v>OK</v>
      </c>
      <c r="F21" s="5" t="s">
        <v>274</v>
      </c>
    </row>
    <row r="22" customFormat="false" ht="15" hidden="false" customHeight="false" outlineLevel="0" collapsed="false">
      <c r="B22" s="8" t="s">
        <v>275</v>
      </c>
      <c r="C22" s="11" t="n">
        <v>47000000</v>
      </c>
      <c r="D22" s="11" t="n">
        <f aca="false">'Example 2'!$C$33</f>
        <v>47000000</v>
      </c>
      <c r="E22" s="25" t="str">
        <f aca="false">IF(ABS(D22-C22)&lt;=1,"OK","ECART")</f>
        <v>OK</v>
      </c>
      <c r="F22" s="5" t="s">
        <v>276</v>
      </c>
    </row>
    <row r="23" customFormat="false" ht="15" hidden="false" customHeight="false" outlineLevel="0" collapsed="false">
      <c r="B23" s="8" t="s">
        <v>277</v>
      </c>
      <c r="C23" s="15" t="n">
        <v>0.2</v>
      </c>
      <c r="D23" s="15" t="n">
        <f aca="false">'Example 2'!$C$35</f>
        <v>0.2</v>
      </c>
      <c r="E23" s="25" t="str">
        <f aca="false">IF(ABS(D23-C23)&lt;=0.0005,"OK","ECART")</f>
        <v>OK</v>
      </c>
      <c r="F23" s="5" t="s">
        <v>278</v>
      </c>
    </row>
    <row r="25" customFormat="false" ht="15" hidden="false" customHeight="false" outlineLevel="0" collapsed="false">
      <c r="B25" s="3" t="s">
        <v>279</v>
      </c>
    </row>
    <row r="26" customFormat="false" ht="27.75" hidden="false" customHeight="true" outlineLevel="0" collapsed="false">
      <c r="B26" s="7" t="s">
        <v>241</v>
      </c>
      <c r="C26" s="7" t="s">
        <v>280</v>
      </c>
      <c r="D26" s="7" t="s">
        <v>281</v>
      </c>
      <c r="E26" s="7" t="s">
        <v>244</v>
      </c>
      <c r="F26" s="7" t="s">
        <v>49</v>
      </c>
    </row>
    <row r="27" customFormat="false" ht="15" hidden="false" customHeight="false" outlineLevel="0" collapsed="false">
      <c r="B27" s="8" t="s">
        <v>282</v>
      </c>
      <c r="C27" s="11" t="n">
        <f aca="false">'Example 1'!$C$9</f>
        <v>1000000000</v>
      </c>
      <c r="D27" s="11" t="n">
        <f aca="false">'Example 1'!$C$21+'Example 1'!$D$21</f>
        <v>1000000000</v>
      </c>
      <c r="E27" s="25" t="str">
        <f aca="false">IF(ABS(D27-C27)&lt;=1,"OK","ECART")</f>
        <v>OK</v>
      </c>
      <c r="F27" s="5" t="s">
        <v>283</v>
      </c>
    </row>
    <row r="28" customFormat="false" ht="15" hidden="false" customHeight="false" outlineLevel="0" collapsed="false">
      <c r="B28" s="8" t="s">
        <v>284</v>
      </c>
      <c r="C28" s="11" t="n">
        <f aca="false">'Example 2'!$C$21</f>
        <v>735000000</v>
      </c>
      <c r="D28" s="11" t="n">
        <f aca="false">'Example 2'!$C$32+'Example 2'!$C$33</f>
        <v>735000000</v>
      </c>
      <c r="E28" s="25" t="str">
        <f aca="false">IF(ABS(D28-C28)&lt;=1,"OK","ECART")</f>
        <v>OK</v>
      </c>
      <c r="F28" s="5"/>
    </row>
    <row r="29" customFormat="false" ht="15" hidden="false" customHeight="false" outlineLevel="0" collapsed="false">
      <c r="B29" s="8" t="s">
        <v>285</v>
      </c>
      <c r="C29" s="19" t="n">
        <v>1</v>
      </c>
      <c r="D29" s="19" t="n">
        <f aca="false">IF('European vs American'!$C$22&gt;'European vs American'!$C$21,1,0)</f>
        <v>1</v>
      </c>
      <c r="E29" s="25" t="str">
        <f aca="false">IF(ABS(D29-C29)&lt;=0.0001,"OK","ECART")</f>
        <v>OK</v>
      </c>
      <c r="F29" s="5" t="s">
        <v>286</v>
      </c>
    </row>
    <row r="30" customFormat="false" ht="15" hidden="false" customHeight="false" outlineLevel="0" collapsed="false">
      <c r="B30" s="8" t="s">
        <v>287</v>
      </c>
      <c r="C30" s="11" t="n">
        <f aca="false">'European vs American'!$C$22-'European vs American'!$C$21</f>
        <v>9000000</v>
      </c>
      <c r="D30" s="11" t="n">
        <f aca="false">'European vs American'!$C$23</f>
        <v>9000000</v>
      </c>
      <c r="E30" s="25" t="str">
        <f aca="false">IF(ABS(D30-C30)&lt;=1,"OK","ECART")</f>
        <v>OK</v>
      </c>
      <c r="F30" s="5"/>
    </row>
    <row r="31" customFormat="false" ht="15" hidden="false" customHeight="false" outlineLevel="0" collapsed="false">
      <c r="B31" s="8" t="s">
        <v>288</v>
      </c>
      <c r="C31" s="11" t="n">
        <f aca="false">'Multi-Tier'!$C$9</f>
        <v>1000000000</v>
      </c>
      <c r="D31" s="11" t="n">
        <f aca="false">'Multi-Tier'!$D$32+'Multi-Tier'!$E$32</f>
        <v>1000000000</v>
      </c>
      <c r="E31" s="25" t="str">
        <f aca="false">IF(ABS(D31-C31)&lt;=1,"OK","ECART")</f>
        <v>OK</v>
      </c>
      <c r="F31" s="5"/>
    </row>
    <row r="32" customFormat="false" ht="15" hidden="false" customHeight="false" outlineLevel="0" collapsed="false">
      <c r="B32" s="8" t="s">
        <v>289</v>
      </c>
      <c r="C32" s="19" t="n">
        <v>1</v>
      </c>
      <c r="D32" s="19" t="n">
        <f aca="false">IF('Time-Weighted Pref'!$G$16&gt;'Time-Weighted Pref'!$F$16,1,0)</f>
        <v>1</v>
      </c>
      <c r="E32" s="25" t="str">
        <f aca="false">IF(ABS(D32-C32)&lt;=0.0001,"OK","ECART")</f>
        <v>OK</v>
      </c>
      <c r="F32" s="5" t="s">
        <v>290</v>
      </c>
    </row>
    <row r="34" customFormat="false" ht="15" hidden="false" customHeight="false" outlineLevel="0" collapsed="false">
      <c r="B34" s="4" t="s">
        <v>291</v>
      </c>
      <c r="D34" s="26" t="str">
        <f aca="false">IF(COUNTIF(E7:E23,"OK")+COUNTIF(E27:E32,"OK")=23,"TOUT CONCORDE","VERIFIER")</f>
        <v>TOUT CONCORDE</v>
      </c>
    </row>
  </sheetData>
  <mergeCells count="1">
    <mergeCell ref="B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2026-08-12T19:42:50Z</dcterms:created>
  <dc:creator>openpyxl</dc:creator>
  <dc:description/>
  <dc:language>en-US</dc:language>
  <cp:lastModifiedBy/>
  <dcterms:modified xsi:type="dcterms:W3CDTF">2026-08-12T19:42:50Z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