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Fund Metrics" sheetId="2" state="visible" r:id="rId4"/>
    <sheet name="Gross to Net" sheetId="3" state="visible" r:id="rId5"/>
    <sheet name="J-Curve" sheetId="4" state="visible" r:id="rId6"/>
    <sheet name="LP Diligence" sheetId="5" state="visible" r:id="rId7"/>
    <sheet name="Checks"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<sst xmlns="http://schemas.openxmlformats.org/spreadsheetml/2006/main" count="256" uniqueCount="230">
  <si>
    <t xml:space="preserve">Private Equity Real Estate — Performance and LP Diligence</t>
  </si>
  <si>
    <t xml:space="preserve">Companion workbook to Chapters 15 and 24 of "Private Equity Real Estate" by Julian R. Sterling. Free, ungated, and yours to reuse.</t>
  </si>
  <si>
    <t xml:space="preserve">Sheets</t>
  </si>
  <si>
    <t xml:space="preserve">Fund Metrics</t>
  </si>
  <si>
    <t xml:space="preserve">      IRR, TVPI, DPI and RVPI computed from one cash-flow schedule, so you can see how the four move differently on the same fund. Chapter 24 warns that IRR is "sensitive to cash flow timing" and TVPI is "mute on the time dimension" — this sheet is where both become obvious.</t>
  </si>
  <si>
    <t xml:space="preserve">Gross to Net</t>
  </si>
  <si>
    <t xml:space="preserve">      The bridge Chapter 24 asks for: gross returns at the asset level, then management fees, fund expenses and carried interest, then the number the LP actually experiences.</t>
  </si>
  <si>
    <t xml:space="preserve">J-Curve</t>
  </si>
  <si>
    <t xml:space="preserve">      The J-curve the chapter describes, and the vintage pacing that manages it: four commitments a year apart, and what the combined cash flow looks like.</t>
  </si>
  <si>
    <t xml:space="preserve">LP Diligence</t>
  </si>
  <si>
    <t xml:space="preserve">      The six-step framework in Chapter 15, as a working scorecard with weights, evidence and a named owner for each line.</t>
  </si>
  <si>
    <t xml:space="preserve">Checks</t>
  </si>
  <si>
    <t xml:space="preserve">      Internal consistency tests. Chapter 24 is a framework chapter rather than a worked-example chapter, so there are no printed figures to reproduce — these tests check the workbook against itself.</t>
  </si>
  <si>
    <t xml:space="preserve">Blue on yellow is an input. Black is a formula. Green links to another sheet. Nothing is hard-coded to force the book's answer — clear the inputs and the model empties out instead of lying to you.</t>
  </si>
  <si>
    <t xml:space="preserve">Source: Private Equity Real Estate, Chapters 15 and 24. All figures in US dollars.</t>
  </si>
  <si>
    <t xml:space="preserve">The four numbers, from one cash-flow schedule</t>
  </si>
  <si>
    <t xml:space="preserve">Chapter 24 sets out IRR, TVPI, DPI and RVPI and is careful about what each one hides. Enter the calls and distributions below; everything else follows.</t>
  </si>
  <si>
    <t xml:space="preserve">Year</t>
  </si>
  <si>
    <t xml:space="preserve">Capital called</t>
  </si>
  <si>
    <t xml:space="preserve">Distributions</t>
  </si>
  <si>
    <t xml:space="preserve">Net cash flow</t>
  </si>
  <si>
    <t xml:space="preserve">Cumulative called</t>
  </si>
  <si>
    <t xml:space="preserve">Cumulative distributed</t>
  </si>
  <si>
    <t xml:space="preserve">Note</t>
  </si>
  <si>
    <t xml:space="preserve">First close and the first two deals.</t>
  </si>
  <si>
    <t xml:space="preserve">Peak deployment.</t>
  </si>
  <si>
    <t xml:space="preserve">First income distributions.</t>
  </si>
  <si>
    <t xml:space="preserve">First exit.</t>
  </si>
  <si>
    <t xml:space="preserve">Two exits in the same year.</t>
  </si>
  <si>
    <t xml:space="preserve">Wind-down begins.</t>
  </si>
  <si>
    <t xml:space="preserve">Total</t>
  </si>
  <si>
    <t xml:space="preserve">Residual value</t>
  </si>
  <si>
    <t xml:space="preserve">Value</t>
  </si>
  <si>
    <t xml:space="preserve">Unrealised value at the measurement date</t>
  </si>
  <si>
    <t xml:space="preserve">The marks. Chapter 24: "the IRR is only as good as the marks".</t>
  </si>
  <si>
    <t xml:space="preserve">Commitment</t>
  </si>
  <si>
    <t xml:space="preserve">Called capital is less than commitment — the difference is the unfunded balance.</t>
  </si>
  <si>
    <t xml:space="preserve">The four metrics</t>
  </si>
  <si>
    <t xml:space="preserve">What Chapter 24 says about it</t>
  </si>
  <si>
    <t xml:space="preserve">Paid-in capital</t>
  </si>
  <si>
    <t xml:space="preserve">Distributions to date</t>
  </si>
  <si>
    <t xml:space="preserve">DPI — distributions to paid-in</t>
  </si>
  <si>
    <t xml:space="preserve">Cash actually returned. The only metric that cannot be argued with.</t>
  </si>
  <si>
    <t xml:space="preserve">RVPI — residual value to paid-in</t>
  </si>
  <si>
    <t xml:space="preserve">Everything still held, at the manager's marks.</t>
  </si>
  <si>
    <t xml:space="preserve">TVPI — total value to paid-in</t>
  </si>
  <si>
    <t xml:space="preserve">"TVPI of 1.5x means the LP is at 1.5 times their invested capital." Mute on time.</t>
  </si>
  <si>
    <t xml:space="preserve">Share of TVPI that is still unrealised</t>
  </si>
  <si>
    <t xml:space="preserve">"Track records dominated by unrealised marks deserve more scrutiny."</t>
  </si>
  <si>
    <t xml:space="preserve">IRR — realised cash flows only</t>
  </si>
  <si>
    <t xml:space="preserve">No terminal value. What the LP has actually banked.</t>
  </si>
  <si>
    <t xml:space="preserve">Unfunded commitment</t>
  </si>
  <si>
    <t xml:space="preserve">Percentage of commitment called</t>
  </si>
  <si>
    <t xml:space="preserve">IRR including the residual value</t>
  </si>
  <si>
    <t xml:space="preserve">Computed on a separate schedule, because adding the marks to the final year is a modelling choice and should be visible rather than buried inside a formula.</t>
  </si>
  <si>
    <t xml:space="preserve">Cash flow with the residual added at the measurement date</t>
  </si>
  <si>
    <t xml:space="preserve">IRR</t>
  </si>
  <si>
    <t xml:space="preserve">The headline number a manager would quote today.</t>
  </si>
  <si>
    <t xml:space="preserve">Difference from the realised-only IRR</t>
  </si>
  <si>
    <t xml:space="preserve">How much of the reported return depends on the marks holding.</t>
  </si>
  <si>
    <t xml:space="preserve">Gross to net — the bridge Chapter 24 asks for</t>
  </si>
  <si>
    <t xml:space="preserve">"Gross IRR / TVPI. Returns at the property or portfolio level, before fund-level fees and expenses... Net IRR / TVPI. Returns after all fees, expenses, and carried interest. The actual LP experience." The gap between the two is the manager's entire commercial proposition, and it is worth knowing its size.</t>
  </si>
  <si>
    <t xml:space="preserve">Fund</t>
  </si>
  <si>
    <t xml:space="preserve">Gross proceeds at the asset level</t>
  </si>
  <si>
    <t xml:space="preserve">Before anything the fund charges.</t>
  </si>
  <si>
    <t xml:space="preserve">Management fee rate</t>
  </si>
  <si>
    <t xml:space="preserve">Fee base — years 1 to 5</t>
  </si>
  <si>
    <t xml:space="preserve">On commitments during the investment period.</t>
  </si>
  <si>
    <t xml:space="preserve">Fee base — years 6 to 10</t>
  </si>
  <si>
    <t xml:space="preserve">Stepping down to invested capital.</t>
  </si>
  <si>
    <t xml:space="preserve">Fund operating expenses per year</t>
  </si>
  <si>
    <t xml:space="preserve">Audit, tax, admin, legal.</t>
  </si>
  <si>
    <t xml:space="preserve">Organisational costs</t>
  </si>
  <si>
    <t xml:space="preserve">One-off, at formation.</t>
  </si>
  <si>
    <t xml:space="preserve">Transaction fee offset</t>
  </si>
  <si>
    <t xml:space="preserve">Chapter 15 asks whether the offset is "100% or partial".</t>
  </si>
  <si>
    <t xml:space="preserve">Transaction fees earned by the GP</t>
  </si>
  <si>
    <t xml:space="preserve">Preferred return</t>
  </si>
  <si>
    <t xml:space="preserve">Promote</t>
  </si>
  <si>
    <t xml:space="preserve">Fund life (years)</t>
  </si>
  <si>
    <t xml:space="preserve">The bridge</t>
  </si>
  <si>
    <t xml:space="preserve">Amount</t>
  </si>
  <si>
    <t xml:space="preserve">Multiple</t>
  </si>
  <si>
    <t xml:space="preserve">Gross proceeds</t>
  </si>
  <si>
    <t xml:space="preserve">What the assets produced.</t>
  </si>
  <si>
    <t xml:space="preserve">Management fees, years 1-5</t>
  </si>
  <si>
    <t xml:space="preserve">On committed capital.</t>
  </si>
  <si>
    <t xml:space="preserve">Management fees, years 6-10</t>
  </si>
  <si>
    <t xml:space="preserve">On invested capital, after the step-down.</t>
  </si>
  <si>
    <t xml:space="preserve">Added back to the LP because the offset reduces the management fee.</t>
  </si>
  <si>
    <t xml:space="preserve">Fund operating expenses</t>
  </si>
  <si>
    <t xml:space="preserve">Proceeds before carried interest</t>
  </si>
  <si>
    <t xml:space="preserve">Preferred return owed to the LP</t>
  </si>
  <si>
    <t xml:space="preserve">Compounded over an average five-year holding period across the fund.</t>
  </si>
  <si>
    <t xml:space="preserve">Profit above capital and the pref</t>
  </si>
  <si>
    <t xml:space="preserve">Carried interest</t>
  </si>
  <si>
    <t xml:space="preserve">Full catch-up: the GP reaches 20% of all profit above capital, which is the construction this book uses throughout.</t>
  </si>
  <si>
    <t xml:space="preserve">Net proceeds to the LP</t>
  </si>
  <si>
    <t xml:space="preserve">Gross against net</t>
  </si>
  <si>
    <t xml:space="preserve">Gross multiple</t>
  </si>
  <si>
    <t xml:space="preserve">Net multiple</t>
  </si>
  <si>
    <t xml:space="preserve">What the LP experiences.</t>
  </si>
  <si>
    <t xml:space="preserve">Total drag</t>
  </si>
  <si>
    <t xml:space="preserve">In multiple terms.</t>
  </si>
  <si>
    <t xml:space="preserve">Total drag in dollars</t>
  </si>
  <si>
    <t xml:space="preserve">   of which management fees</t>
  </si>
  <si>
    <t xml:space="preserve">Net of the offset.</t>
  </si>
  <si>
    <t xml:space="preserve">   of which fund expenses</t>
  </si>
  <si>
    <t xml:space="preserve">   of which carried interest</t>
  </si>
  <si>
    <t xml:space="preserve">Gross IRR equivalent over the fund life</t>
  </si>
  <si>
    <t xml:space="preserve">A compound rate, not a true IRR — the cash-flow timing is on the Fund Metrics sheet.</t>
  </si>
  <si>
    <t xml:space="preserve">Net IRR equivalent over the fund life</t>
  </si>
  <si>
    <t xml:space="preserve">Spread between the two</t>
  </si>
  <si>
    <t xml:space="preserve">This is the number to compare across managers, not the headline gross.</t>
  </si>
  <si>
    <t xml:space="preserve">Fee load as a share of paid-in capital</t>
  </si>
  <si>
    <t xml:space="preserve">Before any carry. This is what the LP pays whether or not the fund performs.</t>
  </si>
  <si>
    <t xml:space="preserve">The J-curve, and the pacing that flattens it</t>
  </si>
  <si>
    <t xml:space="preserve">"A characteristic feature of closed-end PERE fund performance is the J-curve: negative IRR in the early years... turning positive over time." And the answer: "LPs building portfolios manage J-curves through pacing — committing to multiple vintages so that some funds are in their J-curve phase while others are in their harvesting phase."</t>
  </si>
  <si>
    <t xml:space="preserve">One fund</t>
  </si>
  <si>
    <t xml:space="preserve">Cumulative</t>
  </si>
  <si>
    <t xml:space="preserve">IRR to date</t>
  </si>
  <si>
    <t xml:space="preserve">Fees charged, nothing distributed. This is the bottom of the J.</t>
  </si>
  <si>
    <t xml:space="preserve">The turn.</t>
  </si>
  <si>
    <t xml:space="preserve">Four vintages, one a year apart</t>
  </si>
  <si>
    <t xml:space="preserve">Each vintage is a quarter of the same total commitment, started a year apart. What pacing does and does not do is worth being precise about: it does not shorten the J-curve, and on this schedule it actually leaves the programme below water a year longer. What it changes is the peak funding requirement and the year-to-year swing — which is what an LP treasury actually has to plan around.</t>
  </si>
  <si>
    <t xml:space="preserve">Vintage 1</t>
  </si>
  <si>
    <t xml:space="preserve">Vintage 2</t>
  </si>
  <si>
    <t xml:space="preserve">Vintage 3</t>
  </si>
  <si>
    <t xml:space="preserve">Vintage 4</t>
  </si>
  <si>
    <t xml:space="preserve">Programme cash flow</t>
  </si>
  <si>
    <t xml:space="preserve">First year the single fund turns cumulative-positive</t>
  </si>
  <si>
    <t xml:space="preserve">First year the programme turns cumulative-positive</t>
  </si>
  <si>
    <t xml:space="preserve">Later in absolute terms, because the programme keeps deploying — but the trough is much shallower.</t>
  </si>
  <si>
    <t xml:space="preserve">Deepest drawdown — single fund</t>
  </si>
  <si>
    <t xml:space="preserve">Deepest drawdown — programme</t>
  </si>
  <si>
    <t xml:space="preserve">Drawdown as a share of the single fund</t>
  </si>
  <si>
    <t xml:space="preserve">The pacing effect, in one number.</t>
  </si>
  <si>
    <t xml:space="preserve">Years the programme spends below water</t>
  </si>
  <si>
    <t xml:space="preserve">Years the single fund spends below water</t>
  </si>
  <si>
    <t xml:space="preserve">Peak annual funding need — single fund</t>
  </si>
  <si>
    <t xml:space="preserve">The worst single year of capital calls.</t>
  </si>
  <si>
    <t xml:space="preserve">Peak annual funding need — programme</t>
  </si>
  <si>
    <t xml:space="preserve">This is the number the pacing is actually buying down.</t>
  </si>
  <si>
    <t xml:space="preserve">Reduction in the peak funding need</t>
  </si>
  <si>
    <t xml:space="preserve">A third less capital to find in the worst year, on the same total commitment.</t>
  </si>
  <si>
    <t xml:space="preserve">Swing between the best and worst year — single fund</t>
  </si>
  <si>
    <t xml:space="preserve">Swing between the best and worst year — programme</t>
  </si>
  <si>
    <t xml:space="preserve">Years with a net outflow — single fund</t>
  </si>
  <si>
    <t xml:space="preserve">Years with a net outflow — programme</t>
  </si>
  <si>
    <t xml:space="preserve">Spread thinner, over more years. That is the trade.</t>
  </si>
  <si>
    <t xml:space="preserve">LP due diligence — the six-step framework in Chapter 15</t>
  </si>
  <si>
    <t xml:space="preserve">"Manager selection is therefore the single most important driver of LP outcomes — more important than asset allocation, sector tilts, or fee negotiation." Score each line 1 to 5, weight it, and record the evidence. The sheet flags any line scored without evidence, because an unevidenced score is an impression.</t>
  </si>
  <si>
    <t xml:space="preserve">#</t>
  </si>
  <si>
    <t xml:space="preserve">Item</t>
  </si>
  <si>
    <t xml:space="preserve">Score 1-5</t>
  </si>
  <si>
    <t xml:space="preserve">Weight</t>
  </si>
  <si>
    <t xml:space="preserve">Weighted</t>
  </si>
  <si>
    <t xml:space="preserve">Owner</t>
  </si>
  <si>
    <t xml:space="preserve">Evidence</t>
  </si>
  <si>
    <t xml:space="preserve">Step 1 — Strategy and market fit</t>
  </si>
  <si>
    <t xml:space="preserve">The strategy answers, in plain language: what will be bought, why, from whom, at what price, and how money is made.</t>
  </si>
  <si>
    <t xml:space="preserve">The strategy is differentiated — sourcing, execution or exit — and not a commoditised version of what hundreds of managers do.</t>
  </si>
  <si>
    <t xml:space="preserve">The strategy fits the current market rather than the one that produced the last fund's returns.</t>
  </si>
  <si>
    <t xml:space="preserve">Step 2 — Team</t>
  </si>
  <si>
    <t xml:space="preserve">Senior partner stability: how long they have worked together, and whether they are committed for the life of the new fund.</t>
  </si>
  <si>
    <t xml:space="preserve">Succession plan exists and is credible.</t>
  </si>
  <si>
    <t xml:space="preserve">Team depth at junior, mid and senior level is sufficient for the planned investment volume.</t>
  </si>
  <si>
    <t xml:space="preserve">Asset management capability can actually execute business plans, not just close deals.</t>
  </si>
  <si>
    <t xml:space="preserve">Reference calls completed with former colleagues, counterparties, employers and tenants.</t>
  </si>
  <si>
    <t xml:space="preserve">Cultural fit, and no warning signs: prior litigation, high turnover, team conflict.</t>
  </si>
  <si>
    <t xml:space="preserve">Step 3 — Track record</t>
  </si>
  <si>
    <t xml:space="preserve">Analysed both net and gross of fees.</t>
  </si>
  <si>
    <t xml:space="preserve">Analysed by vintage, against the environment each fund actually faced.</t>
  </si>
  <si>
    <t xml:space="preserve">Analysed deal by deal: what won, what lost, and what drove each.</t>
  </si>
  <si>
    <t xml:space="preserve">Analysed by sector and market, including where the manager has struggled.</t>
  </si>
  <si>
    <t xml:space="preserve">Loss ratio and downside performance quantified.</t>
  </si>
  <si>
    <t xml:space="preserve">Realised against unrealised: the share of the track record still sitting at the manager's marks.</t>
  </si>
  <si>
    <t xml:space="preserve">Attribution: cap rate compression, operational improvement, or leverage.</t>
  </si>
  <si>
    <t xml:space="preserve">Step 4 — Investment process</t>
  </si>
  <si>
    <t xml:space="preserve">Sourcing runs through multiple proprietary channels, not one broker or seller relationship.</t>
  </si>
  <si>
    <t xml:space="preserve">Underwriting standards are documented: cap rates, rent growth, leverage, return thresholds.</t>
  </si>
  <si>
    <t xml:space="preserve">The investment committee genuinely says no, with diverse perspectives and senior accountability.</t>
  </si>
  <si>
    <t xml:space="preserve">Post-investment monitoring exists: business plan reviews, dashboards, escalation protocols.</t>
  </si>
  <si>
    <t xml:space="preserve">Lessons-learned process is honest and feeds back into new deals.</t>
  </si>
  <si>
    <t xml:space="preserve">Step 5 — Operations and infrastructure</t>
  </si>
  <si>
    <t xml:space="preserve">Compliance programme adequate; regulatory standing clean.</t>
  </si>
  <si>
    <t xml:space="preserve">Valuation policy: frequency, methodology, third-party involvement, oversight committee.</t>
  </si>
  <si>
    <t xml:space="preserve">Audit quality, statement timeliness, robustness of investor reporting.</t>
  </si>
  <si>
    <t xml:space="preserve">Business continuity, IT resilience and cybersecurity.</t>
  </si>
  <si>
    <t xml:space="preserve">Compensation and firm equity designed to retain key talent.</t>
  </si>
  <si>
    <t xml:space="preserve">Conflicts management: allocation across funds and accounts, cross-fund transactions, related-party fees.</t>
  </si>
  <si>
    <t xml:space="preserve">Step 6 — Terms and economics</t>
  </si>
  <si>
    <t xml:space="preserve">Management fee level and base are market, or the divergence is explained.</t>
  </si>
  <si>
    <t xml:space="preserve">Carry structure understood: European or American, hurdle, catch-up.</t>
  </si>
  <si>
    <t xml:space="preserve">Transaction fee offset is 100%, or the shortfall is quantified.</t>
  </si>
  <si>
    <t xml:space="preserve">Clawback protections: escrow, personal guarantees, interim true-ups.</t>
  </si>
  <si>
    <t xml:space="preserve">GP commitment is meaningful and in cash, not waived fees.</t>
  </si>
  <si>
    <t xml:space="preserve">Weighted score</t>
  </si>
  <si>
    <t xml:space="preserve">Lines scored 2 or below</t>
  </si>
  <si>
    <t xml:space="preserve">Each of these is a condition or a reason to pass.</t>
  </si>
  <si>
    <t xml:space="preserve">Weighted score of those lines</t>
  </si>
  <si>
    <t xml:space="preserve">Weight sitting on the weak lines.</t>
  </si>
  <si>
    <t xml:space="preserve">Lines without evidence recorded</t>
  </si>
  <si>
    <t xml:space="preserve">An unevidenced score is an impression, not diligence.</t>
  </si>
  <si>
    <t xml:space="preserve">Lines without a named owner</t>
  </si>
  <si>
    <t xml:space="preserve">Reference calls completed (item 8)</t>
  </si>
  <si>
    <t xml:space="preserve">Chapter 15: "the single most informative diligence step and is often skimped on".</t>
  </si>
  <si>
    <t xml:space="preserve">Recommendation</t>
  </si>
  <si>
    <t xml:space="preserve">Chapter 15 notes that "the difference between top-quartile and bottom-quartile funds of the same vintage and strategy can exceed ten percentage points of net IRR". On a $50M commitment held for ten years, ten points of net IRR is the difference between roughly $130M and $325M back. That is what this scorecard is for.</t>
  </si>
  <si>
    <t xml:space="preserve">Chapters 15 and 24 are framework chapters rather than worked-example chapters, so there are no printed figures to reproduce here. These tests check the workbook against itself.</t>
  </si>
  <si>
    <t xml:space="preserve">Test</t>
  </si>
  <si>
    <t xml:space="preserve">Book</t>
  </si>
  <si>
    <t xml:space="preserve">This workbook</t>
  </si>
  <si>
    <t xml:space="preserve">Status</t>
  </si>
  <si>
    <t xml:space="preserve">Source</t>
  </si>
  <si>
    <t xml:space="preserve">Internal consistency</t>
  </si>
  <si>
    <t xml:space="preserve">Expected</t>
  </si>
  <si>
    <t xml:space="preserve">Computed</t>
  </si>
  <si>
    <t xml:space="preserve">Fund metrics: TVPI equals DPI plus RVPI</t>
  </si>
  <si>
    <t xml:space="preserve">By definition.</t>
  </si>
  <si>
    <t xml:space="preserve">Fund metrics: paid-in equals the sum of calls</t>
  </si>
  <si>
    <t xml:space="preserve">Fund metrics: IRR with marks exceeds realised-only</t>
  </si>
  <si>
    <t xml:space="preserve">It must, when the marks are positive.</t>
  </si>
  <si>
    <t xml:space="preserve">Gross to net: the bridge foots</t>
  </si>
  <si>
    <t xml:space="preserve">Gross to net: net is below gross</t>
  </si>
  <si>
    <t xml:space="preserve">Gross to net: the drag components sum to the total</t>
  </si>
  <si>
    <t xml:space="preserve">J-curve: the four vintages sum to the programme</t>
  </si>
  <si>
    <t xml:space="preserve">J-curve: pacing lowers the peak funding need</t>
  </si>
  <si>
    <t xml:space="preserve">Programme peak outflow is smaller in absolute terms.</t>
  </si>
  <si>
    <t xml:space="preserve">All checks</t>
  </si>
</sst>
</file>

<file path=xl/styles.xml><?xml version="1.0" encoding="utf-8"?>
<styleSheet xmlns="http://schemas.openxmlformats.org/spreadsheetml/2006/main">
  <numFmts count="7">
    <numFmt numFmtId="164" formatCode="General"/>
    <numFmt numFmtId="165" formatCode="\$#,##0;&quot;($&quot;#,##0\);\-"/>
    <numFmt numFmtId="166" formatCode="0.00\x"/>
    <numFmt numFmtId="167" formatCode="0.0%;\(0.0%\);\-"/>
    <numFmt numFmtId="168" formatCode="0.00%;\(0.00%\);\-"/>
    <numFmt numFmtId="169" formatCode="0"/>
    <numFmt numFmtId="170" formatCode="0.00"/>
  </numFmts>
  <fonts count="11">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sz val="10"/>
      <name val="Arial"/>
      <family val="0"/>
      <charset val="1"/>
    </font>
    <font>
      <b val="true"/>
      <sz val="11"/>
      <color rgb="FF1F3864"/>
      <name val="Arial"/>
      <family val="0"/>
      <charset val="1"/>
    </font>
    <font>
      <b val="true"/>
      <sz val="10"/>
      <name val="Arial"/>
      <family val="0"/>
      <charset val="1"/>
    </font>
    <font>
      <i val="true"/>
      <sz val="9"/>
      <color rgb="FF595959"/>
      <name val="Arial"/>
      <family val="0"/>
      <charset val="1"/>
    </font>
    <font>
      <b val="true"/>
      <sz val="10"/>
      <color rgb="FFFFFFFF"/>
      <name val="Arial"/>
      <family val="0"/>
      <charset val="1"/>
    </font>
    <font>
      <sz val="10"/>
      <color rgb="FF0000FF"/>
      <name val="Arial"/>
      <family val="0"/>
      <charset val="1"/>
    </font>
  </fonts>
  <fills count="5">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EDF2F9"/>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9" fillId="2"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5" fontId="7"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9" fontId="5" fillId="0" borderId="0" xfId="0" applyFont="true" applyBorder="false" applyAlignment="true" applyProtection="false">
      <alignment horizontal="center" vertical="bottom" textRotation="0" wrapText="false" indent="0" shrinkToFit="false"/>
      <protection locked="true" hidden="false"/>
    </xf>
    <xf numFmtId="168" fontId="7" fillId="4" borderId="0" xfId="0" applyFont="true" applyBorder="false" applyAlignment="false" applyProtection="false">
      <alignment horizontal="general" vertical="bottom" textRotation="0" wrapText="false" indent="0" shrinkToFit="false"/>
      <protection locked="true" hidden="false"/>
    </xf>
    <xf numFmtId="168" fontId="10" fillId="3" borderId="1" xfId="0" applyFont="true" applyBorder="true" applyAlignment="false" applyProtection="false">
      <alignment horizontal="general" vertical="bottom" textRotation="0" wrapText="false" indent="0" shrinkToFit="false"/>
      <protection locked="true" hidden="false"/>
    </xf>
    <xf numFmtId="167" fontId="10" fillId="3" borderId="1" xfId="0" applyFont="true" applyBorder="true" applyAlignment="false" applyProtection="false">
      <alignment horizontal="general" vertical="bottom" textRotation="0" wrapText="false" indent="0" shrinkToFit="false"/>
      <protection locked="true" hidden="false"/>
    </xf>
    <xf numFmtId="169" fontId="10" fillId="3" borderId="1" xfId="0" applyFont="true" applyBorder="true" applyAlignment="false" applyProtection="false">
      <alignment horizontal="general" vertical="bottom" textRotation="0" wrapText="false" indent="0" shrinkToFit="false"/>
      <protection locked="true" hidden="false"/>
    </xf>
    <xf numFmtId="166" fontId="7" fillId="4" borderId="0" xfId="0" applyFont="true" applyBorder="false" applyAlignment="false" applyProtection="false">
      <alignment horizontal="general" vertical="bottom" textRotation="0" wrapText="false" indent="0" shrinkToFit="false"/>
      <protection locked="true" hidden="false"/>
    </xf>
    <xf numFmtId="169" fontId="5"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true" applyAlignment="false" applyProtection="false">
      <alignment horizontal="general" vertical="bottom" textRotation="0" wrapText="false" indent="0" shrinkToFit="false"/>
      <protection locked="true" hidden="false"/>
    </xf>
    <xf numFmtId="165" fontId="10" fillId="3" borderId="1" xfId="0" applyFont="true" applyBorder="true" applyAlignment="true" applyProtection="false">
      <alignment horizontal="center" vertical="bottom" textRotation="0" wrapText="false" indent="0" shrinkToFit="false"/>
      <protection locked="true" hidden="false"/>
    </xf>
    <xf numFmtId="170" fontId="5" fillId="0" borderId="0" xfId="0" applyFont="true" applyBorder="false" applyAlignment="false" applyProtection="false">
      <alignment horizontal="general"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DF2F9"/>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4" customFormat="false" ht="23.85" hidden="false" customHeight="false" outlineLevel="0" collapsed="false">
      <c r="B4" s="2" t="s">
        <v>1</v>
      </c>
    </row>
    <row r="6" customFormat="false" ht="15" hidden="false" customHeight="false" outlineLevel="0" collapsed="false">
      <c r="B6" s="3" t="s">
        <v>2</v>
      </c>
    </row>
    <row r="7" customFormat="false" ht="15" hidden="false" customHeight="false" outlineLevel="0" collapsed="false">
      <c r="B7" s="4" t="s">
        <v>3</v>
      </c>
    </row>
    <row r="8" customFormat="false" ht="35.05" hidden="false" customHeight="false" outlineLevel="0" collapsed="false">
      <c r="B8" s="2" t="s">
        <v>4</v>
      </c>
    </row>
    <row r="9" customFormat="false" ht="15" hidden="false" customHeight="false" outlineLevel="0" collapsed="false">
      <c r="B9" s="4" t="s">
        <v>5</v>
      </c>
    </row>
    <row r="10" customFormat="false" ht="23.85" hidden="false" customHeight="false" outlineLevel="0" collapsed="false">
      <c r="B10" s="2" t="s">
        <v>6</v>
      </c>
    </row>
    <row r="11" customFormat="false" ht="15" hidden="false" customHeight="false" outlineLevel="0" collapsed="false">
      <c r="B11" s="4" t="s">
        <v>7</v>
      </c>
    </row>
    <row r="12" customFormat="false" ht="23.85" hidden="false" customHeight="false" outlineLevel="0" collapsed="false">
      <c r="B12" s="2" t="s">
        <v>8</v>
      </c>
    </row>
    <row r="13" customFormat="false" ht="15" hidden="false" customHeight="false" outlineLevel="0" collapsed="false">
      <c r="B13" s="4" t="s">
        <v>9</v>
      </c>
    </row>
    <row r="14" customFormat="false" ht="15" hidden="false" customHeight="false" outlineLevel="0" collapsed="false">
      <c r="B14" s="2" t="s">
        <v>10</v>
      </c>
    </row>
    <row r="15" customFormat="false" ht="15" hidden="false" customHeight="false" outlineLevel="0" collapsed="false">
      <c r="B15" s="4" t="s">
        <v>11</v>
      </c>
    </row>
    <row r="16" customFormat="false" ht="23.85" hidden="false" customHeight="false" outlineLevel="0" collapsed="false">
      <c r="B16" s="2" t="s">
        <v>12</v>
      </c>
    </row>
    <row r="18" customFormat="false" ht="22.35" hidden="false" customHeight="false" outlineLevel="0" collapsed="false">
      <c r="B18" s="5" t="s">
        <v>13</v>
      </c>
    </row>
    <row r="20" customFormat="false" ht="15" hidden="false" customHeight="false" outlineLevel="0" collapsed="false">
      <c r="B20" s="5" t="s">
        <v>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5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6"/>
    <col collapsed="false" customWidth="true" hidden="false" outlineLevel="0" max="7" min="3" style="0" width="17"/>
    <col collapsed="false" customWidth="true" hidden="false" outlineLevel="0" max="8" min="8" style="0" width="48"/>
  </cols>
  <sheetData>
    <row r="2" customFormat="false" ht="79.85" hidden="false" customHeight="false" outlineLevel="0" collapsed="false">
      <c r="B2" s="1" t="s">
        <v>15</v>
      </c>
    </row>
    <row r="4" customFormat="false" ht="30" hidden="false" customHeight="true" outlineLevel="0" collapsed="false">
      <c r="B4" s="6" t="s">
        <v>16</v>
      </c>
      <c r="C4" s="6"/>
      <c r="D4" s="6"/>
      <c r="E4" s="6"/>
      <c r="F4" s="6"/>
      <c r="G4" s="6"/>
      <c r="H4" s="6"/>
    </row>
    <row r="6" customFormat="false" ht="27.75" hidden="false" customHeight="true" outlineLevel="0" collapsed="false">
      <c r="B6" s="7" t="s">
        <v>17</v>
      </c>
      <c r="C6" s="7" t="s">
        <v>18</v>
      </c>
      <c r="D6" s="7" t="s">
        <v>19</v>
      </c>
      <c r="E6" s="7" t="s">
        <v>20</v>
      </c>
      <c r="F6" s="7" t="s">
        <v>21</v>
      </c>
      <c r="G6" s="7" t="s">
        <v>22</v>
      </c>
      <c r="H6" s="7" t="s">
        <v>23</v>
      </c>
    </row>
    <row r="7" customFormat="false" ht="15" hidden="false" customHeight="false" outlineLevel="0" collapsed="false">
      <c r="B7" s="8" t="n">
        <v>0</v>
      </c>
      <c r="C7" s="9" t="n">
        <v>-25000000</v>
      </c>
      <c r="D7" s="9" t="n">
        <v>0</v>
      </c>
      <c r="E7" s="10" t="n">
        <f aca="false">C7+D7</f>
        <v>-25000000</v>
      </c>
      <c r="F7" s="10" t="n">
        <f aca="false">SUM($C$7:C7)</f>
        <v>-25000000</v>
      </c>
      <c r="G7" s="10" t="n">
        <f aca="false">SUM($D$7:D7)</f>
        <v>0</v>
      </c>
      <c r="H7" s="5" t="s">
        <v>24</v>
      </c>
    </row>
    <row r="8" customFormat="false" ht="15" hidden="false" customHeight="false" outlineLevel="0" collapsed="false">
      <c r="B8" s="8" t="n">
        <v>1</v>
      </c>
      <c r="C8" s="9" t="n">
        <v>-45000000</v>
      </c>
      <c r="D8" s="9" t="n">
        <v>0</v>
      </c>
      <c r="E8" s="10" t="n">
        <f aca="false">C8+D8</f>
        <v>-45000000</v>
      </c>
      <c r="F8" s="10" t="n">
        <f aca="false">SUM($C$7:C8)</f>
        <v>-70000000</v>
      </c>
      <c r="G8" s="10" t="n">
        <f aca="false">SUM($D$7:D8)</f>
        <v>0</v>
      </c>
      <c r="H8" s="5"/>
    </row>
    <row r="9" customFormat="false" ht="15" hidden="false" customHeight="false" outlineLevel="0" collapsed="false">
      <c r="B9" s="8" t="n">
        <v>2</v>
      </c>
      <c r="C9" s="9" t="n">
        <v>-60000000</v>
      </c>
      <c r="D9" s="9" t="n">
        <v>0</v>
      </c>
      <c r="E9" s="10" t="n">
        <f aca="false">C9+D9</f>
        <v>-60000000</v>
      </c>
      <c r="F9" s="10" t="n">
        <f aca="false">SUM($C$7:C9)</f>
        <v>-130000000</v>
      </c>
      <c r="G9" s="10" t="n">
        <f aca="false">SUM($D$7:D9)</f>
        <v>0</v>
      </c>
      <c r="H9" s="5" t="s">
        <v>25</v>
      </c>
    </row>
    <row r="10" customFormat="false" ht="15" hidden="false" customHeight="false" outlineLevel="0" collapsed="false">
      <c r="B10" s="8" t="n">
        <v>3</v>
      </c>
      <c r="C10" s="9" t="n">
        <v>-40000000</v>
      </c>
      <c r="D10" s="9" t="n">
        <v>8000000</v>
      </c>
      <c r="E10" s="10" t="n">
        <f aca="false">C10+D10</f>
        <v>-32000000</v>
      </c>
      <c r="F10" s="10" t="n">
        <f aca="false">SUM($C$7:C10)</f>
        <v>-170000000</v>
      </c>
      <c r="G10" s="10" t="n">
        <f aca="false">SUM($D$7:D10)</f>
        <v>8000000</v>
      </c>
      <c r="H10" s="5" t="s">
        <v>26</v>
      </c>
    </row>
    <row r="11" customFormat="false" ht="15" hidden="false" customHeight="false" outlineLevel="0" collapsed="false">
      <c r="B11" s="8" t="n">
        <v>4</v>
      </c>
      <c r="C11" s="9" t="n">
        <v>-20000000</v>
      </c>
      <c r="D11" s="9" t="n">
        <v>22000000</v>
      </c>
      <c r="E11" s="10" t="n">
        <f aca="false">C11+D11</f>
        <v>2000000</v>
      </c>
      <c r="F11" s="10" t="n">
        <f aca="false">SUM($C$7:C11)</f>
        <v>-190000000</v>
      </c>
      <c r="G11" s="10" t="n">
        <f aca="false">SUM($D$7:D11)</f>
        <v>30000000</v>
      </c>
      <c r="H11" s="5"/>
    </row>
    <row r="12" customFormat="false" ht="15" hidden="false" customHeight="false" outlineLevel="0" collapsed="false">
      <c r="B12" s="8" t="n">
        <v>5</v>
      </c>
      <c r="C12" s="9" t="n">
        <v>-10000000</v>
      </c>
      <c r="D12" s="9" t="n">
        <v>55000000</v>
      </c>
      <c r="E12" s="10" t="n">
        <f aca="false">C12+D12</f>
        <v>45000000</v>
      </c>
      <c r="F12" s="10" t="n">
        <f aca="false">SUM($C$7:C12)</f>
        <v>-200000000</v>
      </c>
      <c r="G12" s="10" t="n">
        <f aca="false">SUM($D$7:D12)</f>
        <v>85000000</v>
      </c>
      <c r="H12" s="5" t="s">
        <v>27</v>
      </c>
    </row>
    <row r="13" customFormat="false" ht="15" hidden="false" customHeight="false" outlineLevel="0" collapsed="false">
      <c r="B13" s="8" t="n">
        <v>6</v>
      </c>
      <c r="C13" s="9" t="n">
        <v>0</v>
      </c>
      <c r="D13" s="9" t="n">
        <v>70000000</v>
      </c>
      <c r="E13" s="10" t="n">
        <f aca="false">C13+D13</f>
        <v>70000000</v>
      </c>
      <c r="F13" s="10" t="n">
        <f aca="false">SUM($C$7:C13)</f>
        <v>-200000000</v>
      </c>
      <c r="G13" s="10" t="n">
        <f aca="false">SUM($D$7:D13)</f>
        <v>155000000</v>
      </c>
      <c r="H13" s="5"/>
    </row>
    <row r="14" customFormat="false" ht="15" hidden="false" customHeight="false" outlineLevel="0" collapsed="false">
      <c r="B14" s="8" t="n">
        <v>7</v>
      </c>
      <c r="C14" s="9" t="n">
        <v>0</v>
      </c>
      <c r="D14" s="9" t="n">
        <v>95000000</v>
      </c>
      <c r="E14" s="10" t="n">
        <f aca="false">C14+D14</f>
        <v>95000000</v>
      </c>
      <c r="F14" s="10" t="n">
        <f aca="false">SUM($C$7:C14)</f>
        <v>-200000000</v>
      </c>
      <c r="G14" s="10" t="n">
        <f aca="false">SUM($D$7:D14)</f>
        <v>250000000</v>
      </c>
      <c r="H14" s="5" t="s">
        <v>28</v>
      </c>
    </row>
    <row r="15" customFormat="false" ht="15" hidden="false" customHeight="false" outlineLevel="0" collapsed="false">
      <c r="B15" s="8" t="n">
        <v>8</v>
      </c>
      <c r="C15" s="9" t="n">
        <v>0</v>
      </c>
      <c r="D15" s="9" t="n">
        <v>60000000</v>
      </c>
      <c r="E15" s="10" t="n">
        <f aca="false">C15+D15</f>
        <v>60000000</v>
      </c>
      <c r="F15" s="10" t="n">
        <f aca="false">SUM($C$7:C15)</f>
        <v>-200000000</v>
      </c>
      <c r="G15" s="10" t="n">
        <f aca="false">SUM($D$7:D15)</f>
        <v>310000000</v>
      </c>
      <c r="H15" s="5"/>
    </row>
    <row r="16" customFormat="false" ht="15" hidden="false" customHeight="false" outlineLevel="0" collapsed="false">
      <c r="B16" s="8" t="n">
        <v>9</v>
      </c>
      <c r="C16" s="9" t="n">
        <v>0</v>
      </c>
      <c r="D16" s="9" t="n">
        <v>45000000</v>
      </c>
      <c r="E16" s="10" t="n">
        <f aca="false">C16+D16</f>
        <v>45000000</v>
      </c>
      <c r="F16" s="10" t="n">
        <f aca="false">SUM($C$7:C16)</f>
        <v>-200000000</v>
      </c>
      <c r="G16" s="10" t="n">
        <f aca="false">SUM($D$7:D16)</f>
        <v>355000000</v>
      </c>
      <c r="H16" s="5" t="s">
        <v>29</v>
      </c>
    </row>
    <row r="17" customFormat="false" ht="15" hidden="false" customHeight="false" outlineLevel="0" collapsed="false">
      <c r="B17" s="11" t="s">
        <v>30</v>
      </c>
      <c r="C17" s="12" t="n">
        <f aca="false">SUM(C7:C16)</f>
        <v>-200000000</v>
      </c>
      <c r="D17" s="12" t="n">
        <f aca="false">SUM(D7:D16)</f>
        <v>355000000</v>
      </c>
      <c r="E17" s="12" t="n">
        <f aca="false">SUM(E7:E16)</f>
        <v>155000000</v>
      </c>
      <c r="F17" s="13"/>
      <c r="G17" s="13"/>
      <c r="H17" s="13"/>
    </row>
    <row r="19" customFormat="false" ht="15" hidden="false" customHeight="false" outlineLevel="0" collapsed="false">
      <c r="B19" s="3" t="s">
        <v>31</v>
      </c>
    </row>
    <row r="20" customFormat="false" ht="27.75" hidden="false" customHeight="true" outlineLevel="0" collapsed="false">
      <c r="B20" s="7"/>
      <c r="C20" s="7" t="s">
        <v>32</v>
      </c>
      <c r="H20" s="7" t="s">
        <v>23</v>
      </c>
    </row>
    <row r="21" customFormat="false" ht="15" hidden="false" customHeight="false" outlineLevel="0" collapsed="false">
      <c r="B21" s="14" t="s">
        <v>33</v>
      </c>
      <c r="C21" s="9" t="n">
        <v>38000000</v>
      </c>
      <c r="H21" s="5" t="s">
        <v>34</v>
      </c>
    </row>
    <row r="22" customFormat="false" ht="22.35" hidden="false" customHeight="false" outlineLevel="0" collapsed="false">
      <c r="B22" s="14" t="s">
        <v>35</v>
      </c>
      <c r="C22" s="9" t="n">
        <v>220000000</v>
      </c>
      <c r="H22" s="5" t="s">
        <v>36</v>
      </c>
    </row>
    <row r="24" customFormat="false" ht="26.85" hidden="false" customHeight="false" outlineLevel="0" collapsed="false">
      <c r="B24" s="3" t="s">
        <v>37</v>
      </c>
    </row>
    <row r="25" customFormat="false" ht="27.75" hidden="false" customHeight="true" outlineLevel="0" collapsed="false">
      <c r="B25" s="7"/>
      <c r="C25" s="7" t="s">
        <v>32</v>
      </c>
      <c r="H25" s="7" t="s">
        <v>38</v>
      </c>
    </row>
    <row r="26" customFormat="false" ht="15" hidden="false" customHeight="false" outlineLevel="0" collapsed="false">
      <c r="B26" s="14" t="s">
        <v>39</v>
      </c>
      <c r="C26" s="10" t="n">
        <f aca="false">-$C$17</f>
        <v>200000000</v>
      </c>
      <c r="H26" s="5"/>
    </row>
    <row r="27" customFormat="false" ht="15" hidden="false" customHeight="false" outlineLevel="0" collapsed="false">
      <c r="B27" s="14" t="s">
        <v>40</v>
      </c>
      <c r="C27" s="10" t="n">
        <f aca="false">$D$17</f>
        <v>355000000</v>
      </c>
      <c r="H27" s="5"/>
    </row>
    <row r="28" customFormat="false" ht="22.35" hidden="false" customHeight="false" outlineLevel="0" collapsed="false">
      <c r="B28" s="14" t="s">
        <v>41</v>
      </c>
      <c r="C28" s="15" t="n">
        <f aca="false">IFERROR($D$17/-$C$17,0)</f>
        <v>1.775</v>
      </c>
      <c r="H28" s="5" t="s">
        <v>42</v>
      </c>
    </row>
    <row r="29" customFormat="false" ht="15" hidden="false" customHeight="false" outlineLevel="0" collapsed="false">
      <c r="B29" s="14" t="s">
        <v>43</v>
      </c>
      <c r="C29" s="15" t="n">
        <f aca="false">IFERROR($C$21/-$C$17,0)</f>
        <v>0.19</v>
      </c>
      <c r="H29" s="5" t="s">
        <v>44</v>
      </c>
    </row>
    <row r="30" customFormat="false" ht="22.35" hidden="false" customHeight="false" outlineLevel="0" collapsed="false">
      <c r="B30" s="14" t="s">
        <v>45</v>
      </c>
      <c r="C30" s="15" t="n">
        <f aca="false">IFERROR(($D$17+$C$21)/-$C$17,0)</f>
        <v>1.965</v>
      </c>
      <c r="H30" s="5" t="s">
        <v>46</v>
      </c>
    </row>
    <row r="31" customFormat="false" ht="22.35" hidden="false" customHeight="false" outlineLevel="0" collapsed="false">
      <c r="B31" s="14" t="s">
        <v>47</v>
      </c>
      <c r="C31" s="16" t="n">
        <f aca="false">IFERROR($C$21/($D$17+$C$21),0)</f>
        <v>0.0966921119592875</v>
      </c>
      <c r="H31" s="5" t="s">
        <v>48</v>
      </c>
    </row>
    <row r="32" customFormat="false" ht="15" hidden="false" customHeight="false" outlineLevel="0" collapsed="false">
      <c r="B32" s="14" t="s">
        <v>49</v>
      </c>
      <c r="C32" s="17" t="n">
        <f aca="false">IFERROR(IRR($E$7:$E$16),0)</f>
        <v>0.135105129140608</v>
      </c>
      <c r="H32" s="5" t="s">
        <v>50</v>
      </c>
    </row>
    <row r="33" customFormat="false" ht="15" hidden="false" customHeight="false" outlineLevel="0" collapsed="false">
      <c r="B33" s="14" t="s">
        <v>51</v>
      </c>
      <c r="C33" s="10" t="n">
        <f aca="false">$C$22--$C$17</f>
        <v>20000000</v>
      </c>
      <c r="H33" s="5"/>
    </row>
    <row r="34" customFormat="false" ht="15" hidden="false" customHeight="false" outlineLevel="0" collapsed="false">
      <c r="B34" s="14" t="s">
        <v>52</v>
      </c>
      <c r="C34" s="16" t="n">
        <f aca="false">IFERROR(-$C$17/$C$22,0)</f>
        <v>0.909090909090909</v>
      </c>
      <c r="H34" s="5"/>
    </row>
    <row r="36" customFormat="false" ht="39.55" hidden="false" customHeight="false" outlineLevel="0" collapsed="false">
      <c r="B36" s="3" t="s">
        <v>53</v>
      </c>
    </row>
    <row r="37" customFormat="false" ht="15" hidden="false" customHeight="true" outlineLevel="0" collapsed="false">
      <c r="B37" s="18" t="s">
        <v>54</v>
      </c>
      <c r="C37" s="18"/>
      <c r="D37" s="18"/>
      <c r="E37" s="18"/>
      <c r="F37" s="18"/>
      <c r="G37" s="18"/>
      <c r="H37" s="18"/>
    </row>
    <row r="39" customFormat="false" ht="27.75" hidden="false" customHeight="true" outlineLevel="0" collapsed="false">
      <c r="B39" s="7" t="s">
        <v>17</v>
      </c>
      <c r="C39" s="7" t="s">
        <v>55</v>
      </c>
      <c r="H39" s="7"/>
    </row>
    <row r="40" customFormat="false" ht="15" hidden="false" customHeight="false" outlineLevel="0" collapsed="false">
      <c r="B40" s="19" t="n">
        <f aca="false">B7</f>
        <v>0</v>
      </c>
      <c r="C40" s="10" t="n">
        <f aca="false">E7</f>
        <v>-25000000</v>
      </c>
    </row>
    <row r="41" customFormat="false" ht="15" hidden="false" customHeight="false" outlineLevel="0" collapsed="false">
      <c r="B41" s="19" t="n">
        <f aca="false">B8</f>
        <v>1</v>
      </c>
      <c r="C41" s="10" t="n">
        <f aca="false">E8</f>
        <v>-45000000</v>
      </c>
    </row>
    <row r="42" customFormat="false" ht="15" hidden="false" customHeight="false" outlineLevel="0" collapsed="false">
      <c r="B42" s="19" t="n">
        <f aca="false">B9</f>
        <v>2</v>
      </c>
      <c r="C42" s="10" t="n">
        <f aca="false">E9</f>
        <v>-60000000</v>
      </c>
    </row>
    <row r="43" customFormat="false" ht="15" hidden="false" customHeight="false" outlineLevel="0" collapsed="false">
      <c r="B43" s="19" t="n">
        <f aca="false">B10</f>
        <v>3</v>
      </c>
      <c r="C43" s="10" t="n">
        <f aca="false">E10</f>
        <v>-32000000</v>
      </c>
    </row>
    <row r="44" customFormat="false" ht="15" hidden="false" customHeight="false" outlineLevel="0" collapsed="false">
      <c r="B44" s="19" t="n">
        <f aca="false">B11</f>
        <v>4</v>
      </c>
      <c r="C44" s="10" t="n">
        <f aca="false">E11</f>
        <v>2000000</v>
      </c>
    </row>
    <row r="45" customFormat="false" ht="15" hidden="false" customHeight="false" outlineLevel="0" collapsed="false">
      <c r="B45" s="19" t="n">
        <f aca="false">B12</f>
        <v>5</v>
      </c>
      <c r="C45" s="10" t="n">
        <f aca="false">E12</f>
        <v>45000000</v>
      </c>
    </row>
    <row r="46" customFormat="false" ht="15" hidden="false" customHeight="false" outlineLevel="0" collapsed="false">
      <c r="B46" s="19" t="n">
        <f aca="false">B13</f>
        <v>6</v>
      </c>
      <c r="C46" s="10" t="n">
        <f aca="false">E13</f>
        <v>70000000</v>
      </c>
    </row>
    <row r="47" customFormat="false" ht="15" hidden="false" customHeight="false" outlineLevel="0" collapsed="false">
      <c r="B47" s="19" t="n">
        <f aca="false">B14</f>
        <v>7</v>
      </c>
      <c r="C47" s="10" t="n">
        <f aca="false">E14</f>
        <v>95000000</v>
      </c>
    </row>
    <row r="48" customFormat="false" ht="15" hidden="false" customHeight="false" outlineLevel="0" collapsed="false">
      <c r="B48" s="19" t="n">
        <f aca="false">B15</f>
        <v>8</v>
      </c>
      <c r="C48" s="10" t="n">
        <f aca="false">E15</f>
        <v>60000000</v>
      </c>
    </row>
    <row r="49" customFormat="false" ht="15" hidden="false" customHeight="false" outlineLevel="0" collapsed="false">
      <c r="B49" s="19" t="n">
        <f aca="false">B16</f>
        <v>9</v>
      </c>
      <c r="C49" s="10" t="n">
        <f aca="false">E16+$C$21</f>
        <v>83000000</v>
      </c>
    </row>
    <row r="50" customFormat="false" ht="15" hidden="false" customHeight="false" outlineLevel="0" collapsed="false">
      <c r="B50" s="11" t="s">
        <v>56</v>
      </c>
      <c r="C50" s="20" t="n">
        <f aca="false">IFERROR(IRR(C40:C49),0)</f>
        <v>0.153482047386789</v>
      </c>
      <c r="H50" s="5" t="s">
        <v>57</v>
      </c>
    </row>
    <row r="51" customFormat="false" ht="15" hidden="false" customHeight="false" outlineLevel="0" collapsed="false">
      <c r="B51" s="14" t="s">
        <v>58</v>
      </c>
      <c r="C51" s="17" t="n">
        <f aca="false">$C$50-$C$32</f>
        <v>0.0183769182461812</v>
      </c>
      <c r="H51" s="5" t="s">
        <v>59</v>
      </c>
    </row>
  </sheetData>
  <mergeCells count="2">
    <mergeCell ref="B4:H4"/>
    <mergeCell ref="B37:H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17"/>
    <col collapsed="false" customWidth="true" hidden="false" outlineLevel="0" max="4" min="4" style="0" width="14"/>
    <col collapsed="false" customWidth="true" hidden="false" outlineLevel="0" max="5" min="5" style="0" width="52"/>
  </cols>
  <sheetData>
    <row r="2" customFormat="false" ht="32.8" hidden="false" customHeight="false" outlineLevel="0" collapsed="false">
      <c r="B2" s="1" t="s">
        <v>60</v>
      </c>
    </row>
    <row r="4" customFormat="false" ht="39.75" hidden="false" customHeight="true" outlineLevel="0" collapsed="false">
      <c r="B4" s="6" t="s">
        <v>61</v>
      </c>
      <c r="C4" s="6"/>
      <c r="D4" s="6"/>
      <c r="E4" s="6"/>
    </row>
    <row r="6" customFormat="false" ht="15" hidden="false" customHeight="false" outlineLevel="0" collapsed="false">
      <c r="B6" s="3" t="s">
        <v>62</v>
      </c>
    </row>
    <row r="7" customFormat="false" ht="27.75" hidden="false" customHeight="true" outlineLevel="0" collapsed="false">
      <c r="B7" s="7"/>
      <c r="C7" s="7" t="s">
        <v>32</v>
      </c>
      <c r="E7" s="7" t="s">
        <v>23</v>
      </c>
    </row>
    <row r="8" customFormat="false" ht="15" hidden="false" customHeight="false" outlineLevel="0" collapsed="false">
      <c r="B8" s="14" t="s">
        <v>35</v>
      </c>
      <c r="C8" s="9" t="n">
        <v>220000000</v>
      </c>
      <c r="E8" s="5"/>
    </row>
    <row r="9" customFormat="false" ht="15" hidden="false" customHeight="false" outlineLevel="0" collapsed="false">
      <c r="B9" s="14" t="s">
        <v>39</v>
      </c>
      <c r="C9" s="9" t="n">
        <v>200000000</v>
      </c>
      <c r="E9" s="5"/>
    </row>
    <row r="10" customFormat="false" ht="15" hidden="false" customHeight="false" outlineLevel="0" collapsed="false">
      <c r="B10" s="14" t="s">
        <v>63</v>
      </c>
      <c r="C10" s="9" t="n">
        <v>430000000</v>
      </c>
      <c r="E10" s="5" t="s">
        <v>64</v>
      </c>
    </row>
    <row r="11" customFormat="false" ht="15" hidden="false" customHeight="false" outlineLevel="0" collapsed="false">
      <c r="B11" s="14" t="s">
        <v>65</v>
      </c>
      <c r="C11" s="21" t="n">
        <v>0.015</v>
      </c>
      <c r="E11" s="5"/>
    </row>
    <row r="12" customFormat="false" ht="15" hidden="false" customHeight="false" outlineLevel="0" collapsed="false">
      <c r="B12" s="14" t="s">
        <v>66</v>
      </c>
      <c r="C12" s="9" t="n">
        <v>220000000</v>
      </c>
      <c r="E12" s="5" t="s">
        <v>67</v>
      </c>
    </row>
    <row r="13" customFormat="false" ht="15" hidden="false" customHeight="false" outlineLevel="0" collapsed="false">
      <c r="B13" s="14" t="s">
        <v>68</v>
      </c>
      <c r="C13" s="9" t="n">
        <v>150000000</v>
      </c>
      <c r="E13" s="5" t="s">
        <v>69</v>
      </c>
    </row>
    <row r="14" customFormat="false" ht="15" hidden="false" customHeight="false" outlineLevel="0" collapsed="false">
      <c r="B14" s="14" t="s">
        <v>70</v>
      </c>
      <c r="C14" s="9" t="n">
        <v>900000</v>
      </c>
      <c r="E14" s="5" t="s">
        <v>71</v>
      </c>
    </row>
    <row r="15" customFormat="false" ht="15" hidden="false" customHeight="false" outlineLevel="0" collapsed="false">
      <c r="B15" s="14" t="s">
        <v>72</v>
      </c>
      <c r="C15" s="9" t="n">
        <v>1800000</v>
      </c>
      <c r="E15" s="5" t="s">
        <v>73</v>
      </c>
    </row>
    <row r="16" customFormat="false" ht="15" hidden="false" customHeight="false" outlineLevel="0" collapsed="false">
      <c r="B16" s="14" t="s">
        <v>74</v>
      </c>
      <c r="C16" s="22" t="n">
        <v>1</v>
      </c>
      <c r="E16" s="5" t="s">
        <v>75</v>
      </c>
    </row>
    <row r="17" customFormat="false" ht="15" hidden="false" customHeight="false" outlineLevel="0" collapsed="false">
      <c r="B17" s="14" t="s">
        <v>76</v>
      </c>
      <c r="C17" s="9" t="n">
        <v>4200000</v>
      </c>
      <c r="E17" s="5"/>
    </row>
    <row r="18" customFormat="false" ht="15" hidden="false" customHeight="false" outlineLevel="0" collapsed="false">
      <c r="B18" s="14" t="s">
        <v>77</v>
      </c>
      <c r="C18" s="21" t="n">
        <v>0.08</v>
      </c>
      <c r="E18" s="5"/>
    </row>
    <row r="19" customFormat="false" ht="15" hidden="false" customHeight="false" outlineLevel="0" collapsed="false">
      <c r="B19" s="14" t="s">
        <v>78</v>
      </c>
      <c r="C19" s="22" t="n">
        <v>0.2</v>
      </c>
      <c r="E19" s="5"/>
    </row>
    <row r="20" customFormat="false" ht="15" hidden="false" customHeight="false" outlineLevel="0" collapsed="false">
      <c r="B20" s="14" t="s">
        <v>79</v>
      </c>
      <c r="C20" s="23" t="n">
        <v>10</v>
      </c>
      <c r="E20" s="5"/>
    </row>
    <row r="22" customFormat="false" ht="15" hidden="false" customHeight="false" outlineLevel="0" collapsed="false">
      <c r="B22" s="3" t="s">
        <v>80</v>
      </c>
    </row>
    <row r="23" customFormat="false" ht="27.75" hidden="false" customHeight="true" outlineLevel="0" collapsed="false">
      <c r="B23" s="7"/>
      <c r="C23" s="7" t="s">
        <v>81</v>
      </c>
      <c r="D23" s="7" t="s">
        <v>82</v>
      </c>
      <c r="E23" s="7" t="s">
        <v>23</v>
      </c>
    </row>
    <row r="24" customFormat="false" ht="15" hidden="false" customHeight="false" outlineLevel="0" collapsed="false">
      <c r="B24" s="14" t="s">
        <v>83</v>
      </c>
      <c r="C24" s="10" t="n">
        <f aca="false">$C$10</f>
        <v>430000000</v>
      </c>
      <c r="D24" s="15" t="n">
        <f aca="false">IFERROR(C24/$C$9,0)</f>
        <v>2.15</v>
      </c>
      <c r="E24" s="5" t="s">
        <v>84</v>
      </c>
    </row>
    <row r="25" customFormat="false" ht="15" hidden="false" customHeight="false" outlineLevel="0" collapsed="false">
      <c r="B25" s="14" t="s">
        <v>85</v>
      </c>
      <c r="C25" s="10" t="n">
        <f aca="false">-$C$11*$C$12*5</f>
        <v>-16500000</v>
      </c>
      <c r="D25" s="15" t="n">
        <f aca="false">IFERROR(C25/$C$9,0)</f>
        <v>-0.0825</v>
      </c>
      <c r="E25" s="5" t="s">
        <v>86</v>
      </c>
    </row>
    <row r="26" customFormat="false" ht="15" hidden="false" customHeight="false" outlineLevel="0" collapsed="false">
      <c r="B26" s="14" t="s">
        <v>87</v>
      </c>
      <c r="C26" s="10" t="n">
        <f aca="false">-$C$11*$C$13*5</f>
        <v>-11250000</v>
      </c>
      <c r="D26" s="15" t="n">
        <f aca="false">IFERROR(C26/$C$9,0)</f>
        <v>-0.05625</v>
      </c>
      <c r="E26" s="5" t="s">
        <v>88</v>
      </c>
    </row>
    <row r="27" customFormat="false" ht="22.35" hidden="false" customHeight="false" outlineLevel="0" collapsed="false">
      <c r="B27" s="14" t="s">
        <v>74</v>
      </c>
      <c r="C27" s="10" t="n">
        <f aca="false">+$C$16*$C$17</f>
        <v>4200000</v>
      </c>
      <c r="D27" s="15" t="n">
        <f aca="false">IFERROR(C27/$C$9,0)</f>
        <v>0.021</v>
      </c>
      <c r="E27" s="5" t="s">
        <v>89</v>
      </c>
    </row>
    <row r="28" customFormat="false" ht="15" hidden="false" customHeight="false" outlineLevel="0" collapsed="false">
      <c r="B28" s="14" t="s">
        <v>90</v>
      </c>
      <c r="C28" s="10" t="n">
        <f aca="false">-$C$14*$C$20</f>
        <v>-9000000</v>
      </c>
      <c r="D28" s="15" t="n">
        <f aca="false">IFERROR(C28/$C$9,0)</f>
        <v>-0.045</v>
      </c>
      <c r="E28" s="5"/>
    </row>
    <row r="29" customFormat="false" ht="15" hidden="false" customHeight="false" outlineLevel="0" collapsed="false">
      <c r="B29" s="14" t="s">
        <v>72</v>
      </c>
      <c r="C29" s="10" t="n">
        <f aca="false">-$C$15</f>
        <v>-1800000</v>
      </c>
      <c r="D29" s="15" t="n">
        <f aca="false">IFERROR(C29/$C$9,0)</f>
        <v>-0.009</v>
      </c>
      <c r="E29" s="5"/>
    </row>
    <row r="30" customFormat="false" ht="15" hidden="false" customHeight="false" outlineLevel="0" collapsed="false">
      <c r="B30" s="11" t="s">
        <v>91</v>
      </c>
      <c r="C30" s="12" t="n">
        <f aca="false">SUM(C24:C29)</f>
        <v>395650000</v>
      </c>
      <c r="D30" s="24" t="n">
        <f aca="false">IFERROR(C30/$C$9,0)</f>
        <v>1.97825</v>
      </c>
      <c r="E30" s="13"/>
    </row>
    <row r="31" customFormat="false" ht="22.35" hidden="false" customHeight="false" outlineLevel="0" collapsed="false">
      <c r="B31" s="14" t="s">
        <v>92</v>
      </c>
      <c r="C31" s="10" t="n">
        <f aca="false">$C$9*((1+$C$18)^($C$20/2)-1)</f>
        <v>93865615.3600001</v>
      </c>
      <c r="E31" s="5" t="s">
        <v>93</v>
      </c>
    </row>
    <row r="32" customFormat="false" ht="15" hidden="false" customHeight="false" outlineLevel="0" collapsed="false">
      <c r="B32" s="14" t="s">
        <v>94</v>
      </c>
      <c r="C32" s="10" t="n">
        <f aca="false">MAX(0,$C$30-$C$9-$C$31)</f>
        <v>101784384.64</v>
      </c>
    </row>
    <row r="33" customFormat="false" ht="22.35" hidden="false" customHeight="false" outlineLevel="0" collapsed="false">
      <c r="B33" s="14" t="s">
        <v>95</v>
      </c>
      <c r="C33" s="10" t="n">
        <f aca="false">-$C$19*MAX(0,$C$30-$C$9)</f>
        <v>-39130000</v>
      </c>
      <c r="E33" s="5" t="s">
        <v>96</v>
      </c>
    </row>
    <row r="34" customFormat="false" ht="15" hidden="false" customHeight="false" outlineLevel="0" collapsed="false">
      <c r="B34" s="11" t="s">
        <v>97</v>
      </c>
      <c r="C34" s="12" t="n">
        <f aca="false">$C$30+$C$33</f>
        <v>356520000</v>
      </c>
      <c r="D34" s="24" t="n">
        <f aca="false">IFERROR(C34/$C$9,0)</f>
        <v>1.7826</v>
      </c>
      <c r="E34" s="13"/>
    </row>
    <row r="36" customFormat="false" ht="15" hidden="false" customHeight="false" outlineLevel="0" collapsed="false">
      <c r="B36" s="3" t="s">
        <v>98</v>
      </c>
    </row>
    <row r="37" customFormat="false" ht="27.75" hidden="false" customHeight="true" outlineLevel="0" collapsed="false">
      <c r="B37" s="7"/>
      <c r="C37" s="7" t="s">
        <v>32</v>
      </c>
      <c r="E37" s="7" t="s">
        <v>23</v>
      </c>
    </row>
    <row r="38" customFormat="false" ht="15" hidden="false" customHeight="false" outlineLevel="0" collapsed="false">
      <c r="B38" s="14" t="s">
        <v>99</v>
      </c>
      <c r="C38" s="15" t="n">
        <f aca="false">IFERROR($C$10/$C$9,0)</f>
        <v>2.15</v>
      </c>
      <c r="E38" s="5"/>
    </row>
    <row r="39" customFormat="false" ht="15" hidden="false" customHeight="false" outlineLevel="0" collapsed="false">
      <c r="B39" s="14" t="s">
        <v>100</v>
      </c>
      <c r="C39" s="15" t="n">
        <f aca="false">IFERROR($C$34/$C$9,0)</f>
        <v>1.7826</v>
      </c>
      <c r="E39" s="5" t="s">
        <v>101</v>
      </c>
    </row>
    <row r="40" customFormat="false" ht="15" hidden="false" customHeight="false" outlineLevel="0" collapsed="false">
      <c r="B40" s="14" t="s">
        <v>102</v>
      </c>
      <c r="C40" s="15" t="n">
        <f aca="false">IFERROR($C$10/$C$9-$C$34/$C$9,0)</f>
        <v>0.3674</v>
      </c>
      <c r="E40" s="5" t="s">
        <v>103</v>
      </c>
    </row>
    <row r="41" customFormat="false" ht="15" hidden="false" customHeight="false" outlineLevel="0" collapsed="false">
      <c r="B41" s="14" t="s">
        <v>104</v>
      </c>
      <c r="C41" s="10" t="n">
        <f aca="false">$C$10-$C$34</f>
        <v>73480000</v>
      </c>
      <c r="E41" s="5"/>
    </row>
    <row r="42" customFormat="false" ht="15" hidden="false" customHeight="false" outlineLevel="0" collapsed="false">
      <c r="B42" s="14" t="s">
        <v>105</v>
      </c>
      <c r="C42" s="10" t="n">
        <f aca="false">$C$11*$C$12*5+$C$11*$C$13*5-$C$16*$C$17</f>
        <v>23550000</v>
      </c>
      <c r="E42" s="5" t="s">
        <v>106</v>
      </c>
    </row>
    <row r="43" customFormat="false" ht="15" hidden="false" customHeight="false" outlineLevel="0" collapsed="false">
      <c r="B43" s="14" t="s">
        <v>107</v>
      </c>
      <c r="C43" s="10" t="n">
        <f aca="false">$C$14*$C$20+$C$15</f>
        <v>10800000</v>
      </c>
      <c r="E43" s="5"/>
    </row>
    <row r="44" customFormat="false" ht="15" hidden="false" customHeight="false" outlineLevel="0" collapsed="false">
      <c r="B44" s="14" t="s">
        <v>108</v>
      </c>
      <c r="C44" s="10" t="n">
        <f aca="false">-$C$33</f>
        <v>39130000</v>
      </c>
      <c r="E44" s="5"/>
    </row>
    <row r="45" customFormat="false" ht="22.35" hidden="false" customHeight="false" outlineLevel="0" collapsed="false">
      <c r="B45" s="14" t="s">
        <v>109</v>
      </c>
      <c r="C45" s="17" t="n">
        <f aca="false">IFERROR(($C$10/$C$9)^(1/$C$20)-1,0)</f>
        <v>0.079552695180011</v>
      </c>
      <c r="E45" s="5" t="s">
        <v>110</v>
      </c>
    </row>
    <row r="46" customFormat="false" ht="15" hidden="false" customHeight="false" outlineLevel="0" collapsed="false">
      <c r="B46" s="14" t="s">
        <v>111</v>
      </c>
      <c r="C46" s="17" t="n">
        <f aca="false">IFERROR(($C$34/$C$9)^(1/$C$20)-1,0)</f>
        <v>0.0595108054137723</v>
      </c>
      <c r="E46" s="5"/>
    </row>
    <row r="47" customFormat="false" ht="22.35" hidden="false" customHeight="false" outlineLevel="0" collapsed="false">
      <c r="B47" s="14" t="s">
        <v>112</v>
      </c>
      <c r="C47" s="17" t="n">
        <f aca="false">IFERROR(($C$10/$C$9)^(1/$C$20)-($C$34/$C$9)^(1/$C$20),0)</f>
        <v>0.0200418897662387</v>
      </c>
      <c r="E47" s="5" t="s">
        <v>113</v>
      </c>
    </row>
    <row r="48" customFormat="false" ht="22.35" hidden="false" customHeight="false" outlineLevel="0" collapsed="false">
      <c r="B48" s="14" t="s">
        <v>114</v>
      </c>
      <c r="C48" s="16" t="n">
        <f aca="false">IFERROR(($C$11*$C$12*5+$C$11*$C$13*5-$C$16*$C$17+$C$14*$C$20+$C$15)/$C$9,0)</f>
        <v>0.17175</v>
      </c>
      <c r="E48" s="5" t="s">
        <v>115</v>
      </c>
    </row>
  </sheetData>
  <mergeCells count="1">
    <mergeCell ref="B4:E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5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
    <col collapsed="false" customWidth="true" hidden="false" outlineLevel="0" max="6" min="3" style="0" width="16"/>
    <col collapsed="false" customWidth="true" hidden="false" outlineLevel="0" max="7" min="7" style="0" width="18"/>
    <col collapsed="false" customWidth="true" hidden="false" outlineLevel="0" max="8" min="8" style="0" width="50"/>
  </cols>
  <sheetData>
    <row r="2" customFormat="false" ht="111.15" hidden="false" customHeight="false" outlineLevel="0" collapsed="false">
      <c r="B2" s="1" t="s">
        <v>116</v>
      </c>
    </row>
    <row r="4" customFormat="false" ht="43.5" hidden="false" customHeight="true" outlineLevel="0" collapsed="false">
      <c r="B4" s="6" t="s">
        <v>117</v>
      </c>
      <c r="C4" s="6"/>
      <c r="D4" s="6"/>
      <c r="E4" s="6"/>
      <c r="F4" s="6"/>
      <c r="G4" s="6"/>
      <c r="H4" s="6"/>
    </row>
    <row r="6" customFormat="false" ht="15" hidden="false" customHeight="false" outlineLevel="0" collapsed="false">
      <c r="B6" s="3" t="s">
        <v>118</v>
      </c>
    </row>
    <row r="7" customFormat="false" ht="27.75" hidden="false" customHeight="true" outlineLevel="0" collapsed="false">
      <c r="B7" s="7" t="s">
        <v>17</v>
      </c>
      <c r="C7" s="7" t="s">
        <v>20</v>
      </c>
      <c r="D7" s="7" t="s">
        <v>119</v>
      </c>
      <c r="E7" s="7" t="s">
        <v>120</v>
      </c>
      <c r="H7" s="7"/>
    </row>
    <row r="8" customFormat="false" ht="15" hidden="false" customHeight="false" outlineLevel="0" collapsed="false">
      <c r="B8" s="8" t="n">
        <v>0</v>
      </c>
      <c r="C8" s="10" t="n">
        <f aca="false">'Fund Metrics'!$E$7</f>
        <v>-25000000</v>
      </c>
      <c r="D8" s="10" t="n">
        <f aca="false">SUM($C$8:C8)</f>
        <v>-25000000</v>
      </c>
      <c r="E8" s="17" t="str">
        <f aca="false">IF(COUNTIF($C$8:C8,"&gt;0")=0,"n/a",IFERROR(IRR($C$8:C8),"n/a"))</f>
        <v>n/a</v>
      </c>
      <c r="H8" s="5" t="s">
        <v>121</v>
      </c>
    </row>
    <row r="9" customFormat="false" ht="15" hidden="false" customHeight="false" outlineLevel="0" collapsed="false">
      <c r="B9" s="8" t="n">
        <v>1</v>
      </c>
      <c r="C9" s="10" t="n">
        <f aca="false">'Fund Metrics'!$E$8</f>
        <v>-45000000</v>
      </c>
      <c r="D9" s="10" t="n">
        <f aca="false">SUM($C$8:C9)</f>
        <v>-70000000</v>
      </c>
      <c r="E9" s="17" t="str">
        <f aca="false">IF(COUNTIF($C$8:C9,"&gt;0")=0,"n/a",IFERROR(IRR($C$8:C9),"n/a"))</f>
        <v>n/a</v>
      </c>
      <c r="H9" s="5" t="s">
        <v>121</v>
      </c>
    </row>
    <row r="10" customFormat="false" ht="15" hidden="false" customHeight="false" outlineLevel="0" collapsed="false">
      <c r="B10" s="8" t="n">
        <v>2</v>
      </c>
      <c r="C10" s="10" t="n">
        <f aca="false">'Fund Metrics'!$E$9</f>
        <v>-60000000</v>
      </c>
      <c r="D10" s="10" t="n">
        <f aca="false">SUM($C$8:C10)</f>
        <v>-130000000</v>
      </c>
      <c r="E10" s="17" t="str">
        <f aca="false">IF(COUNTIF($C$8:C10,"&gt;0")=0,"n/a",IFERROR(IRR($C$8:C10),"n/a"))</f>
        <v>n/a</v>
      </c>
      <c r="H10" s="5" t="s">
        <v>121</v>
      </c>
    </row>
    <row r="11" customFormat="false" ht="15" hidden="false" customHeight="false" outlineLevel="0" collapsed="false">
      <c r="B11" s="8" t="n">
        <v>3</v>
      </c>
      <c r="C11" s="10" t="n">
        <f aca="false">'Fund Metrics'!$E$10</f>
        <v>-32000000</v>
      </c>
      <c r="D11" s="10" t="n">
        <f aca="false">SUM($C$8:C11)</f>
        <v>-162000000</v>
      </c>
      <c r="E11" s="17" t="str">
        <f aca="false">IF(COUNTIF($C$8:C11,"&gt;0")=0,"n/a",IFERROR(IRR($C$8:C11),"n/a"))</f>
        <v>n/a</v>
      </c>
      <c r="H11" s="5"/>
    </row>
    <row r="12" customFormat="false" ht="15" hidden="false" customHeight="false" outlineLevel="0" collapsed="false">
      <c r="B12" s="8" t="n">
        <v>4</v>
      </c>
      <c r="C12" s="10" t="n">
        <f aca="false">'Fund Metrics'!$E$11</f>
        <v>2000000</v>
      </c>
      <c r="D12" s="10" t="n">
        <f aca="false">SUM($C$8:C12)</f>
        <v>-160000000</v>
      </c>
      <c r="E12" s="17" t="str">
        <f aca="false">IF(COUNTIF($C$8:C12,"&gt;0")=0,"n/a",IFERROR(IRR($C$8:C12),"n/a"))</f>
        <v>n/a</v>
      </c>
      <c r="H12" s="5"/>
    </row>
    <row r="13" customFormat="false" ht="15" hidden="false" customHeight="false" outlineLevel="0" collapsed="false">
      <c r="B13" s="8" t="n">
        <v>5</v>
      </c>
      <c r="C13" s="10" t="n">
        <f aca="false">'Fund Metrics'!$E$12</f>
        <v>45000000</v>
      </c>
      <c r="D13" s="10" t="n">
        <f aca="false">SUM($C$8:C13)</f>
        <v>-115000000</v>
      </c>
      <c r="E13" s="17" t="str">
        <f aca="false">IF(COUNTIF($C$8:C13,"&gt;0")=0,"n/a",IFERROR(IRR($C$8:C13),"n/a"))</f>
        <v>n/a</v>
      </c>
      <c r="H13" s="5" t="s">
        <v>122</v>
      </c>
    </row>
    <row r="14" customFormat="false" ht="15" hidden="false" customHeight="false" outlineLevel="0" collapsed="false">
      <c r="B14" s="8" t="n">
        <v>6</v>
      </c>
      <c r="C14" s="10" t="n">
        <f aca="false">'Fund Metrics'!$E$13</f>
        <v>70000000</v>
      </c>
      <c r="D14" s="10" t="n">
        <f aca="false">SUM($C$8:C14)</f>
        <v>-45000000</v>
      </c>
      <c r="E14" s="17" t="n">
        <f aca="false">IF(COUNTIF($C$8:C14,"&gt;0")=0,"n/a",IFERROR(IRR($C$8:C14),"n/a"))</f>
        <v>-0.0792220165322146</v>
      </c>
      <c r="H14" s="5"/>
    </row>
    <row r="15" customFormat="false" ht="15" hidden="false" customHeight="false" outlineLevel="0" collapsed="false">
      <c r="B15" s="8" t="n">
        <v>7</v>
      </c>
      <c r="C15" s="10" t="n">
        <f aca="false">'Fund Metrics'!$E$14</f>
        <v>95000000</v>
      </c>
      <c r="D15" s="10" t="n">
        <f aca="false">SUM($C$8:C15)</f>
        <v>50000000</v>
      </c>
      <c r="E15" s="17" t="n">
        <f aca="false">IF(COUNTIF($C$8:C15,"&gt;0")=0,"n/a",IFERROR(IRR($C$8:C15),"n/a"))</f>
        <v>0.0600279948568425</v>
      </c>
      <c r="H15" s="5"/>
    </row>
    <row r="16" customFormat="false" ht="15" hidden="false" customHeight="false" outlineLevel="0" collapsed="false">
      <c r="B16" s="8" t="n">
        <v>8</v>
      </c>
      <c r="C16" s="10" t="n">
        <f aca="false">'Fund Metrics'!$E$15</f>
        <v>60000000</v>
      </c>
      <c r="D16" s="10" t="n">
        <f aca="false">SUM($C$8:C16)</f>
        <v>110000000</v>
      </c>
      <c r="E16" s="17" t="n">
        <f aca="false">IF(COUNTIF($C$8:C16,"&gt;0")=0,"n/a",IFERROR(IRR($C$8:C16),"n/a"))</f>
        <v>0.109360085349291</v>
      </c>
      <c r="H16" s="5"/>
    </row>
    <row r="17" customFormat="false" ht="15" hidden="false" customHeight="false" outlineLevel="0" collapsed="false">
      <c r="B17" s="8" t="n">
        <v>9</v>
      </c>
      <c r="C17" s="10" t="n">
        <f aca="false">'Fund Metrics'!$E$16</f>
        <v>45000000</v>
      </c>
      <c r="D17" s="10" t="n">
        <f aca="false">SUM($C$8:C17)</f>
        <v>155000000</v>
      </c>
      <c r="E17" s="17" t="n">
        <f aca="false">IF(COUNTIF($C$8:C17,"&gt;0")=0,"n/a",IFERROR(IRR($C$8:C17),"n/a"))</f>
        <v>0.135105129140608</v>
      </c>
      <c r="H17" s="5"/>
    </row>
    <row r="19" customFormat="false" ht="64.9" hidden="false" customHeight="false" outlineLevel="0" collapsed="false">
      <c r="B19" s="3" t="s">
        <v>123</v>
      </c>
    </row>
    <row r="20" customFormat="false" ht="43.5" hidden="false" customHeight="true" outlineLevel="0" collapsed="false">
      <c r="B20" s="18" t="s">
        <v>124</v>
      </c>
      <c r="C20" s="18"/>
      <c r="D20" s="18"/>
      <c r="E20" s="18"/>
      <c r="F20" s="18"/>
      <c r="G20" s="18"/>
      <c r="H20" s="18"/>
    </row>
    <row r="22" customFormat="false" ht="27.75" hidden="false" customHeight="true" outlineLevel="0" collapsed="false">
      <c r="B22" s="7" t="s">
        <v>17</v>
      </c>
      <c r="C22" s="7" t="s">
        <v>125</v>
      </c>
      <c r="D22" s="7" t="s">
        <v>126</v>
      </c>
      <c r="E22" s="7" t="s">
        <v>127</v>
      </c>
      <c r="F22" s="7" t="s">
        <v>128</v>
      </c>
      <c r="G22" s="7" t="s">
        <v>129</v>
      </c>
      <c r="H22" s="7" t="s">
        <v>119</v>
      </c>
    </row>
    <row r="23" customFormat="false" ht="15" hidden="false" customHeight="false" outlineLevel="0" collapsed="false">
      <c r="B23" s="8" t="n">
        <v>0</v>
      </c>
      <c r="C23" s="10" t="n">
        <f aca="false">IF(AND($B23-0&gt;=0,$B23-0&lt;=9),INDEX($C$8:$C$17,$B23-0+1)/4,0)</f>
        <v>-6250000</v>
      </c>
      <c r="D23" s="10" t="n">
        <f aca="false">IF(AND($B23-1&gt;=0,$B23-1&lt;=9),INDEX($C$8:$C$17,$B23-1+1)/4,0)</f>
        <v>0</v>
      </c>
      <c r="E23" s="10" t="n">
        <f aca="false">IF(AND($B23-2&gt;=0,$B23-2&lt;=9),INDEX($C$8:$C$17,$B23-2+1)/4,0)</f>
        <v>0</v>
      </c>
      <c r="F23" s="10" t="n">
        <f aca="false">IF(AND($B23-3&gt;=0,$B23-3&lt;=9),INDEX($C$8:$C$17,$B23-3+1)/4,0)</f>
        <v>0</v>
      </c>
      <c r="G23" s="10" t="n">
        <f aca="false">SUM(C23:F23)</f>
        <v>-6250000</v>
      </c>
      <c r="H23" s="10" t="n">
        <f aca="false">SUM($G$23:G23)</f>
        <v>-6250000</v>
      </c>
    </row>
    <row r="24" customFormat="false" ht="15" hidden="false" customHeight="false" outlineLevel="0" collapsed="false">
      <c r="B24" s="8" t="n">
        <v>1</v>
      </c>
      <c r="C24" s="10" t="n">
        <f aca="false">IF(AND($B24-0&gt;=0,$B24-0&lt;=9),INDEX($C$8:$C$17,$B24-0+1)/4,0)</f>
        <v>-11250000</v>
      </c>
      <c r="D24" s="10" t="n">
        <f aca="false">IF(AND($B24-1&gt;=0,$B24-1&lt;=9),INDEX($C$8:$C$17,$B24-1+1)/4,0)</f>
        <v>-6250000</v>
      </c>
      <c r="E24" s="10" t="n">
        <f aca="false">IF(AND($B24-2&gt;=0,$B24-2&lt;=9),INDEX($C$8:$C$17,$B24-2+1)/4,0)</f>
        <v>0</v>
      </c>
      <c r="F24" s="10" t="n">
        <f aca="false">IF(AND($B24-3&gt;=0,$B24-3&lt;=9),INDEX($C$8:$C$17,$B24-3+1)/4,0)</f>
        <v>0</v>
      </c>
      <c r="G24" s="10" t="n">
        <f aca="false">SUM(C24:F24)</f>
        <v>-17500000</v>
      </c>
      <c r="H24" s="10" t="n">
        <f aca="false">SUM($G$23:G24)</f>
        <v>-23750000</v>
      </c>
    </row>
    <row r="25" customFormat="false" ht="15" hidden="false" customHeight="false" outlineLevel="0" collapsed="false">
      <c r="B25" s="8" t="n">
        <v>2</v>
      </c>
      <c r="C25" s="10" t="n">
        <f aca="false">IF(AND($B25-0&gt;=0,$B25-0&lt;=9),INDEX($C$8:$C$17,$B25-0+1)/4,0)</f>
        <v>-15000000</v>
      </c>
      <c r="D25" s="10" t="n">
        <f aca="false">IF(AND($B25-1&gt;=0,$B25-1&lt;=9),INDEX($C$8:$C$17,$B25-1+1)/4,0)</f>
        <v>-11250000</v>
      </c>
      <c r="E25" s="10" t="n">
        <f aca="false">IF(AND($B25-2&gt;=0,$B25-2&lt;=9),INDEX($C$8:$C$17,$B25-2+1)/4,0)</f>
        <v>-6250000</v>
      </c>
      <c r="F25" s="10" t="n">
        <f aca="false">IF(AND($B25-3&gt;=0,$B25-3&lt;=9),INDEX($C$8:$C$17,$B25-3+1)/4,0)</f>
        <v>0</v>
      </c>
      <c r="G25" s="10" t="n">
        <f aca="false">SUM(C25:F25)</f>
        <v>-32500000</v>
      </c>
      <c r="H25" s="10" t="n">
        <f aca="false">SUM($G$23:G25)</f>
        <v>-56250000</v>
      </c>
    </row>
    <row r="26" customFormat="false" ht="15" hidden="false" customHeight="false" outlineLevel="0" collapsed="false">
      <c r="B26" s="8" t="n">
        <v>3</v>
      </c>
      <c r="C26" s="10" t="n">
        <f aca="false">IF(AND($B26-0&gt;=0,$B26-0&lt;=9),INDEX($C$8:$C$17,$B26-0+1)/4,0)</f>
        <v>-8000000</v>
      </c>
      <c r="D26" s="10" t="n">
        <f aca="false">IF(AND($B26-1&gt;=0,$B26-1&lt;=9),INDEX($C$8:$C$17,$B26-1+1)/4,0)</f>
        <v>-15000000</v>
      </c>
      <c r="E26" s="10" t="n">
        <f aca="false">IF(AND($B26-2&gt;=0,$B26-2&lt;=9),INDEX($C$8:$C$17,$B26-2+1)/4,0)</f>
        <v>-11250000</v>
      </c>
      <c r="F26" s="10" t="n">
        <f aca="false">IF(AND($B26-3&gt;=0,$B26-3&lt;=9),INDEX($C$8:$C$17,$B26-3+1)/4,0)</f>
        <v>-6250000</v>
      </c>
      <c r="G26" s="10" t="n">
        <f aca="false">SUM(C26:F26)</f>
        <v>-40500000</v>
      </c>
      <c r="H26" s="10" t="n">
        <f aca="false">SUM($G$23:G26)</f>
        <v>-96750000</v>
      </c>
    </row>
    <row r="27" customFormat="false" ht="15" hidden="false" customHeight="false" outlineLevel="0" collapsed="false">
      <c r="B27" s="8" t="n">
        <v>4</v>
      </c>
      <c r="C27" s="10" t="n">
        <f aca="false">IF(AND($B27-0&gt;=0,$B27-0&lt;=9),INDEX($C$8:$C$17,$B27-0+1)/4,0)</f>
        <v>500000</v>
      </c>
      <c r="D27" s="10" t="n">
        <f aca="false">IF(AND($B27-1&gt;=0,$B27-1&lt;=9),INDEX($C$8:$C$17,$B27-1+1)/4,0)</f>
        <v>-8000000</v>
      </c>
      <c r="E27" s="10" t="n">
        <f aca="false">IF(AND($B27-2&gt;=0,$B27-2&lt;=9),INDEX($C$8:$C$17,$B27-2+1)/4,0)</f>
        <v>-15000000</v>
      </c>
      <c r="F27" s="10" t="n">
        <f aca="false">IF(AND($B27-3&gt;=0,$B27-3&lt;=9),INDEX($C$8:$C$17,$B27-3+1)/4,0)</f>
        <v>-11250000</v>
      </c>
      <c r="G27" s="10" t="n">
        <f aca="false">SUM(C27:F27)</f>
        <v>-33750000</v>
      </c>
      <c r="H27" s="10" t="n">
        <f aca="false">SUM($G$23:G27)</f>
        <v>-130500000</v>
      </c>
    </row>
    <row r="28" customFormat="false" ht="15" hidden="false" customHeight="false" outlineLevel="0" collapsed="false">
      <c r="B28" s="8" t="n">
        <v>5</v>
      </c>
      <c r="C28" s="10" t="n">
        <f aca="false">IF(AND($B28-0&gt;=0,$B28-0&lt;=9),INDEX($C$8:$C$17,$B28-0+1)/4,0)</f>
        <v>11250000</v>
      </c>
      <c r="D28" s="10" t="n">
        <f aca="false">IF(AND($B28-1&gt;=0,$B28-1&lt;=9),INDEX($C$8:$C$17,$B28-1+1)/4,0)</f>
        <v>500000</v>
      </c>
      <c r="E28" s="10" t="n">
        <f aca="false">IF(AND($B28-2&gt;=0,$B28-2&lt;=9),INDEX($C$8:$C$17,$B28-2+1)/4,0)</f>
        <v>-8000000</v>
      </c>
      <c r="F28" s="10" t="n">
        <f aca="false">IF(AND($B28-3&gt;=0,$B28-3&lt;=9),INDEX($C$8:$C$17,$B28-3+1)/4,0)</f>
        <v>-15000000</v>
      </c>
      <c r="G28" s="10" t="n">
        <f aca="false">SUM(C28:F28)</f>
        <v>-11250000</v>
      </c>
      <c r="H28" s="10" t="n">
        <f aca="false">SUM($G$23:G28)</f>
        <v>-141750000</v>
      </c>
    </row>
    <row r="29" customFormat="false" ht="15" hidden="false" customHeight="false" outlineLevel="0" collapsed="false">
      <c r="B29" s="8" t="n">
        <v>6</v>
      </c>
      <c r="C29" s="10" t="n">
        <f aca="false">IF(AND($B29-0&gt;=0,$B29-0&lt;=9),INDEX($C$8:$C$17,$B29-0+1)/4,0)</f>
        <v>17500000</v>
      </c>
      <c r="D29" s="10" t="n">
        <f aca="false">IF(AND($B29-1&gt;=0,$B29-1&lt;=9),INDEX($C$8:$C$17,$B29-1+1)/4,0)</f>
        <v>11250000</v>
      </c>
      <c r="E29" s="10" t="n">
        <f aca="false">IF(AND($B29-2&gt;=0,$B29-2&lt;=9),INDEX($C$8:$C$17,$B29-2+1)/4,0)</f>
        <v>500000</v>
      </c>
      <c r="F29" s="10" t="n">
        <f aca="false">IF(AND($B29-3&gt;=0,$B29-3&lt;=9),INDEX($C$8:$C$17,$B29-3+1)/4,0)</f>
        <v>-8000000</v>
      </c>
      <c r="G29" s="10" t="n">
        <f aca="false">SUM(C29:F29)</f>
        <v>21250000</v>
      </c>
      <c r="H29" s="10" t="n">
        <f aca="false">SUM($G$23:G29)</f>
        <v>-120500000</v>
      </c>
    </row>
    <row r="30" customFormat="false" ht="15" hidden="false" customHeight="false" outlineLevel="0" collapsed="false">
      <c r="B30" s="8" t="n">
        <v>7</v>
      </c>
      <c r="C30" s="10" t="n">
        <f aca="false">IF(AND($B30-0&gt;=0,$B30-0&lt;=9),INDEX($C$8:$C$17,$B30-0+1)/4,0)</f>
        <v>23750000</v>
      </c>
      <c r="D30" s="10" t="n">
        <f aca="false">IF(AND($B30-1&gt;=0,$B30-1&lt;=9),INDEX($C$8:$C$17,$B30-1+1)/4,0)</f>
        <v>17500000</v>
      </c>
      <c r="E30" s="10" t="n">
        <f aca="false">IF(AND($B30-2&gt;=0,$B30-2&lt;=9),INDEX($C$8:$C$17,$B30-2+1)/4,0)</f>
        <v>11250000</v>
      </c>
      <c r="F30" s="10" t="n">
        <f aca="false">IF(AND($B30-3&gt;=0,$B30-3&lt;=9),INDEX($C$8:$C$17,$B30-3+1)/4,0)</f>
        <v>500000</v>
      </c>
      <c r="G30" s="10" t="n">
        <f aca="false">SUM(C30:F30)</f>
        <v>53000000</v>
      </c>
      <c r="H30" s="10" t="n">
        <f aca="false">SUM($G$23:G30)</f>
        <v>-67500000</v>
      </c>
    </row>
    <row r="31" customFormat="false" ht="15" hidden="false" customHeight="false" outlineLevel="0" collapsed="false">
      <c r="B31" s="8" t="n">
        <v>8</v>
      </c>
      <c r="C31" s="10" t="n">
        <f aca="false">IF(AND($B31-0&gt;=0,$B31-0&lt;=9),INDEX($C$8:$C$17,$B31-0+1)/4,0)</f>
        <v>15000000</v>
      </c>
      <c r="D31" s="10" t="n">
        <f aca="false">IF(AND($B31-1&gt;=0,$B31-1&lt;=9),INDEX($C$8:$C$17,$B31-1+1)/4,0)</f>
        <v>23750000</v>
      </c>
      <c r="E31" s="10" t="n">
        <f aca="false">IF(AND($B31-2&gt;=0,$B31-2&lt;=9),INDEX($C$8:$C$17,$B31-2+1)/4,0)</f>
        <v>17500000</v>
      </c>
      <c r="F31" s="10" t="n">
        <f aca="false">IF(AND($B31-3&gt;=0,$B31-3&lt;=9),INDEX($C$8:$C$17,$B31-3+1)/4,0)</f>
        <v>11250000</v>
      </c>
      <c r="G31" s="10" t="n">
        <f aca="false">SUM(C31:F31)</f>
        <v>67500000</v>
      </c>
      <c r="H31" s="10" t="n">
        <f aca="false">SUM($G$23:G31)</f>
        <v>0</v>
      </c>
    </row>
    <row r="32" customFormat="false" ht="15" hidden="false" customHeight="false" outlineLevel="0" collapsed="false">
      <c r="B32" s="8" t="n">
        <v>9</v>
      </c>
      <c r="C32" s="10" t="n">
        <f aca="false">IF(AND($B32-0&gt;=0,$B32-0&lt;=9),INDEX($C$8:$C$17,$B32-0+1)/4,0)</f>
        <v>11250000</v>
      </c>
      <c r="D32" s="10" t="n">
        <f aca="false">IF(AND($B32-1&gt;=0,$B32-1&lt;=9),INDEX($C$8:$C$17,$B32-1+1)/4,0)</f>
        <v>15000000</v>
      </c>
      <c r="E32" s="10" t="n">
        <f aca="false">IF(AND($B32-2&gt;=0,$B32-2&lt;=9),INDEX($C$8:$C$17,$B32-2+1)/4,0)</f>
        <v>23750000</v>
      </c>
      <c r="F32" s="10" t="n">
        <f aca="false">IF(AND($B32-3&gt;=0,$B32-3&lt;=9),INDEX($C$8:$C$17,$B32-3+1)/4,0)</f>
        <v>17500000</v>
      </c>
      <c r="G32" s="10" t="n">
        <f aca="false">SUM(C32:F32)</f>
        <v>67500000</v>
      </c>
      <c r="H32" s="10" t="n">
        <f aca="false">SUM($G$23:G32)</f>
        <v>67500000</v>
      </c>
    </row>
    <row r="33" customFormat="false" ht="15" hidden="false" customHeight="false" outlineLevel="0" collapsed="false">
      <c r="B33" s="8" t="n">
        <v>10</v>
      </c>
      <c r="C33" s="10" t="n">
        <f aca="false">IF(AND($B33-0&gt;=0,$B33-0&lt;=9),INDEX($C$8:$C$17,$B33-0+1)/4,0)</f>
        <v>0</v>
      </c>
      <c r="D33" s="10" t="n">
        <f aca="false">IF(AND($B33-1&gt;=0,$B33-1&lt;=9),INDEX($C$8:$C$17,$B33-1+1)/4,0)</f>
        <v>11250000</v>
      </c>
      <c r="E33" s="10" t="n">
        <f aca="false">IF(AND($B33-2&gt;=0,$B33-2&lt;=9),INDEX($C$8:$C$17,$B33-2+1)/4,0)</f>
        <v>15000000</v>
      </c>
      <c r="F33" s="10" t="n">
        <f aca="false">IF(AND($B33-3&gt;=0,$B33-3&lt;=9),INDEX($C$8:$C$17,$B33-3+1)/4,0)</f>
        <v>23750000</v>
      </c>
      <c r="G33" s="10" t="n">
        <f aca="false">SUM(C33:F33)</f>
        <v>50000000</v>
      </c>
      <c r="H33" s="10" t="n">
        <f aca="false">SUM($G$23:G33)</f>
        <v>117500000</v>
      </c>
    </row>
    <row r="34" customFormat="false" ht="15" hidden="false" customHeight="false" outlineLevel="0" collapsed="false">
      <c r="B34" s="8" t="n">
        <v>11</v>
      </c>
      <c r="C34" s="10" t="n">
        <f aca="false">IF(AND($B34-0&gt;=0,$B34-0&lt;=9),INDEX($C$8:$C$17,$B34-0+1)/4,0)</f>
        <v>0</v>
      </c>
      <c r="D34" s="10" t="n">
        <f aca="false">IF(AND($B34-1&gt;=0,$B34-1&lt;=9),INDEX($C$8:$C$17,$B34-1+1)/4,0)</f>
        <v>0</v>
      </c>
      <c r="E34" s="10" t="n">
        <f aca="false">IF(AND($B34-2&gt;=0,$B34-2&lt;=9),INDEX($C$8:$C$17,$B34-2+1)/4,0)</f>
        <v>11250000</v>
      </c>
      <c r="F34" s="10" t="n">
        <f aca="false">IF(AND($B34-3&gt;=0,$B34-3&lt;=9),INDEX($C$8:$C$17,$B34-3+1)/4,0)</f>
        <v>15000000</v>
      </c>
      <c r="G34" s="10" t="n">
        <f aca="false">SUM(C34:F34)</f>
        <v>26250000</v>
      </c>
      <c r="H34" s="10" t="n">
        <f aca="false">SUM($G$23:G34)</f>
        <v>143750000</v>
      </c>
    </row>
    <row r="35" customFormat="false" ht="15" hidden="false" customHeight="false" outlineLevel="0" collapsed="false">
      <c r="B35" s="8" t="n">
        <v>12</v>
      </c>
      <c r="C35" s="10" t="n">
        <f aca="false">IF(AND($B35-0&gt;=0,$B35-0&lt;=9),INDEX($C$8:$C$17,$B35-0+1)/4,0)</f>
        <v>0</v>
      </c>
      <c r="D35" s="10" t="n">
        <f aca="false">IF(AND($B35-1&gt;=0,$B35-1&lt;=9),INDEX($C$8:$C$17,$B35-1+1)/4,0)</f>
        <v>0</v>
      </c>
      <c r="E35" s="10" t="n">
        <f aca="false">IF(AND($B35-2&gt;=0,$B35-2&lt;=9),INDEX($C$8:$C$17,$B35-2+1)/4,0)</f>
        <v>0</v>
      </c>
      <c r="F35" s="10" t="n">
        <f aca="false">IF(AND($B35-3&gt;=0,$B35-3&lt;=9),INDEX($C$8:$C$17,$B35-3+1)/4,0)</f>
        <v>11250000</v>
      </c>
      <c r="G35" s="10" t="n">
        <f aca="false">SUM(C35:F35)</f>
        <v>11250000</v>
      </c>
      <c r="H35" s="10" t="n">
        <f aca="false">SUM($G$23:G35)</f>
        <v>155000000</v>
      </c>
    </row>
    <row r="37" customFormat="false" ht="27.75" hidden="false" customHeight="true" outlineLevel="0" collapsed="false">
      <c r="B37" s="7"/>
      <c r="C37" s="7" t="s">
        <v>32</v>
      </c>
      <c r="H37" s="7" t="s">
        <v>23</v>
      </c>
    </row>
    <row r="38" customFormat="false" ht="15" hidden="false" customHeight="false" outlineLevel="0" collapsed="false">
      <c r="B38" s="14" t="s">
        <v>130</v>
      </c>
      <c r="C38" s="25" t="n">
        <f aca="false">IFERROR(INDEX($B$8:$B$17,MATCH(TRUE(),INDEX($D$8:$D$17&gt;0,0),0)),"never")</f>
        <v>7</v>
      </c>
      <c r="H38" s="5"/>
    </row>
    <row r="39" customFormat="false" ht="22.35" hidden="false" customHeight="false" outlineLevel="0" collapsed="false">
      <c r="B39" s="14" t="s">
        <v>131</v>
      </c>
      <c r="C39" s="25" t="n">
        <f aca="false">IFERROR(INDEX($B$23:$B$35,MATCH(TRUE(),INDEX($H$23:$H$35&gt;0,0),0)),"never")</f>
        <v>9</v>
      </c>
      <c r="H39" s="5" t="s">
        <v>132</v>
      </c>
    </row>
    <row r="40" customFormat="false" ht="15" hidden="false" customHeight="false" outlineLevel="0" collapsed="false">
      <c r="B40" s="14" t="s">
        <v>133</v>
      </c>
      <c r="C40" s="10" t="n">
        <f aca="false">MIN($D$8:$D$17)</f>
        <v>-162000000</v>
      </c>
      <c r="H40" s="5"/>
    </row>
    <row r="41" customFormat="false" ht="15" hidden="false" customHeight="false" outlineLevel="0" collapsed="false">
      <c r="B41" s="14" t="s">
        <v>134</v>
      </c>
      <c r="C41" s="10" t="n">
        <f aca="false">MIN($H$23:$H$35)</f>
        <v>-141750000</v>
      </c>
      <c r="H41" s="5"/>
    </row>
    <row r="42" customFormat="false" ht="15" hidden="false" customHeight="false" outlineLevel="0" collapsed="false">
      <c r="B42" s="14" t="s">
        <v>135</v>
      </c>
      <c r="C42" s="16" t="n">
        <f aca="false">IFERROR(MIN($H$23:$H$35)/MIN($D$8:$D$17),0)</f>
        <v>0.875</v>
      </c>
      <c r="H42" s="5" t="s">
        <v>136</v>
      </c>
    </row>
    <row r="43" customFormat="false" ht="15" hidden="false" customHeight="false" outlineLevel="0" collapsed="false">
      <c r="B43" s="14" t="s">
        <v>137</v>
      </c>
      <c r="C43" s="25" t="n">
        <f aca="false">COUNTIF($H$23:$H$35,"&lt;0")</f>
        <v>8</v>
      </c>
      <c r="H43" s="5"/>
    </row>
    <row r="44" customFormat="false" ht="15" hidden="false" customHeight="false" outlineLevel="0" collapsed="false">
      <c r="B44" s="14" t="s">
        <v>138</v>
      </c>
      <c r="C44" s="25" t="n">
        <f aca="false">COUNTIF($D$8:$D$17,"&lt;0")</f>
        <v>7</v>
      </c>
      <c r="H44" s="5"/>
    </row>
    <row r="45" customFormat="false" ht="15" hidden="false" customHeight="false" outlineLevel="0" collapsed="false">
      <c r="B45" s="14" t="s">
        <v>139</v>
      </c>
      <c r="C45" s="10" t="n">
        <f aca="false">MIN($C$8:$C$17)</f>
        <v>-60000000</v>
      </c>
      <c r="H45" s="5" t="s">
        <v>140</v>
      </c>
    </row>
    <row r="46" customFormat="false" ht="15" hidden="false" customHeight="false" outlineLevel="0" collapsed="false">
      <c r="B46" s="14" t="s">
        <v>141</v>
      </c>
      <c r="C46" s="10" t="n">
        <f aca="false">MIN($G$23:$G$35)</f>
        <v>-40500000</v>
      </c>
      <c r="H46" s="5" t="s">
        <v>142</v>
      </c>
    </row>
    <row r="47" customFormat="false" ht="22.35" hidden="false" customHeight="false" outlineLevel="0" collapsed="false">
      <c r="B47" s="14" t="s">
        <v>143</v>
      </c>
      <c r="C47" s="16" t="n">
        <f aca="false">IFERROR(1-MIN($G$23:$G$35)/MIN($C$8:$C$17),0)</f>
        <v>0.325</v>
      </c>
      <c r="H47" s="5" t="s">
        <v>144</v>
      </c>
    </row>
    <row r="48" customFormat="false" ht="15" hidden="false" customHeight="false" outlineLevel="0" collapsed="false">
      <c r="B48" s="14" t="s">
        <v>145</v>
      </c>
      <c r="C48" s="10" t="n">
        <f aca="false">MAX($C$8:$C$17)-MIN($C$8:$C$17)</f>
        <v>155000000</v>
      </c>
      <c r="H48" s="5"/>
    </row>
    <row r="49" customFormat="false" ht="15" hidden="false" customHeight="false" outlineLevel="0" collapsed="false">
      <c r="B49" s="14" t="s">
        <v>146</v>
      </c>
      <c r="C49" s="10" t="n">
        <f aca="false">MAX($G$23:$G$35)-MIN($G$23:$G$35)</f>
        <v>108000000</v>
      </c>
      <c r="H49" s="5"/>
    </row>
    <row r="50" customFormat="false" ht="15" hidden="false" customHeight="false" outlineLevel="0" collapsed="false">
      <c r="B50" s="14" t="s">
        <v>147</v>
      </c>
      <c r="C50" s="25" t="n">
        <f aca="false">COUNTIF($C$8:$C$17,"&lt;0")</f>
        <v>4</v>
      </c>
      <c r="H50" s="5"/>
    </row>
    <row r="51" customFormat="false" ht="15" hidden="false" customHeight="false" outlineLevel="0" collapsed="false">
      <c r="B51" s="14" t="s">
        <v>148</v>
      </c>
      <c r="C51" s="25" t="n">
        <f aca="false">COUNTIF($G$23:$G$35,"&lt;0")</f>
        <v>6</v>
      </c>
      <c r="H51" s="5" t="s">
        <v>149</v>
      </c>
    </row>
  </sheetData>
  <mergeCells count="2">
    <mergeCell ref="B4:H4"/>
    <mergeCell ref="B20:H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6"/>
    <col collapsed="false" customWidth="true" hidden="false" outlineLevel="0" max="3" min="3" style="0" width="64"/>
    <col collapsed="false" customWidth="true" hidden="false" outlineLevel="0" max="5" min="4" style="0" width="12"/>
    <col collapsed="false" customWidth="true" hidden="false" outlineLevel="0" max="6" min="6" style="0" width="14"/>
    <col collapsed="false" customWidth="true" hidden="false" outlineLevel="0" max="7" min="7" style="0" width="22"/>
    <col collapsed="false" customWidth="true" hidden="false" outlineLevel="0" max="8" min="8" style="0" width="34"/>
  </cols>
  <sheetData>
    <row r="2" customFormat="false" ht="236.55" hidden="false" customHeight="false" outlineLevel="0" collapsed="false">
      <c r="B2" s="1" t="s">
        <v>150</v>
      </c>
    </row>
    <row r="4" customFormat="false" ht="39.75" hidden="false" customHeight="true" outlineLevel="0" collapsed="false">
      <c r="B4" s="6" t="s">
        <v>151</v>
      </c>
      <c r="C4" s="6"/>
      <c r="D4" s="6"/>
      <c r="E4" s="6"/>
      <c r="F4" s="6"/>
      <c r="G4" s="6"/>
      <c r="H4" s="6"/>
    </row>
    <row r="6" customFormat="false" ht="27.75" hidden="false" customHeight="true" outlineLevel="0" collapsed="false">
      <c r="B6" s="7" t="s">
        <v>152</v>
      </c>
      <c r="C6" s="7" t="s">
        <v>153</v>
      </c>
      <c r="D6" s="7" t="s">
        <v>154</v>
      </c>
      <c r="E6" s="7" t="s">
        <v>155</v>
      </c>
      <c r="F6" s="7" t="s">
        <v>156</v>
      </c>
      <c r="G6" s="7" t="s">
        <v>157</v>
      </c>
      <c r="H6" s="7" t="s">
        <v>158</v>
      </c>
    </row>
    <row r="7" customFormat="false" ht="15" hidden="false" customHeight="false" outlineLevel="0" collapsed="false">
      <c r="B7" s="26" t="s">
        <v>159</v>
      </c>
      <c r="C7" s="26"/>
      <c r="D7" s="26"/>
      <c r="E7" s="26"/>
      <c r="F7" s="26"/>
      <c r="G7" s="26"/>
      <c r="H7" s="26"/>
    </row>
    <row r="8" customFormat="false" ht="23.85" hidden="false" customHeight="false" outlineLevel="0" collapsed="false">
      <c r="B8" s="8" t="n">
        <v>1</v>
      </c>
      <c r="C8" s="2" t="s">
        <v>160</v>
      </c>
      <c r="D8" s="23" t="n">
        <v>3</v>
      </c>
      <c r="E8" s="23" t="n">
        <v>3</v>
      </c>
      <c r="F8" s="25" t="n">
        <f aca="false">D8*E8</f>
        <v>9</v>
      </c>
      <c r="G8" s="27"/>
      <c r="H8" s="27"/>
    </row>
    <row r="9" customFormat="false" ht="23.85" hidden="false" customHeight="false" outlineLevel="0" collapsed="false">
      <c r="B9" s="8" t="n">
        <v>2</v>
      </c>
      <c r="C9" s="2" t="s">
        <v>161</v>
      </c>
      <c r="D9" s="23" t="n">
        <v>3</v>
      </c>
      <c r="E9" s="23" t="n">
        <v>2</v>
      </c>
      <c r="F9" s="25" t="n">
        <f aca="false">D9*E9</f>
        <v>6</v>
      </c>
      <c r="G9" s="27"/>
      <c r="H9" s="27"/>
    </row>
    <row r="10" customFormat="false" ht="23.85" hidden="false" customHeight="false" outlineLevel="0" collapsed="false">
      <c r="B10" s="8" t="n">
        <v>3</v>
      </c>
      <c r="C10" s="2" t="s">
        <v>162</v>
      </c>
      <c r="D10" s="23" t="n">
        <v>3</v>
      </c>
      <c r="E10" s="23" t="n">
        <v>2</v>
      </c>
      <c r="F10" s="25" t="n">
        <f aca="false">D10*E10</f>
        <v>6</v>
      </c>
      <c r="G10" s="27"/>
      <c r="H10" s="27"/>
    </row>
    <row r="11" customFormat="false" ht="15" hidden="false" customHeight="false" outlineLevel="0" collapsed="false">
      <c r="B11" s="26" t="s">
        <v>163</v>
      </c>
      <c r="C11" s="26"/>
      <c r="D11" s="26"/>
      <c r="E11" s="26"/>
      <c r="F11" s="26"/>
      <c r="G11" s="26"/>
      <c r="H11" s="26"/>
    </row>
    <row r="12" customFormat="false" ht="23.85" hidden="false" customHeight="false" outlineLevel="0" collapsed="false">
      <c r="B12" s="8" t="n">
        <v>4</v>
      </c>
      <c r="C12" s="2" t="s">
        <v>164</v>
      </c>
      <c r="D12" s="23" t="n">
        <v>3</v>
      </c>
      <c r="E12" s="23" t="n">
        <v>3</v>
      </c>
      <c r="F12" s="25" t="n">
        <f aca="false">D12*E12</f>
        <v>9</v>
      </c>
      <c r="G12" s="27"/>
      <c r="H12" s="27"/>
    </row>
    <row r="13" customFormat="false" ht="15" hidden="false" customHeight="false" outlineLevel="0" collapsed="false">
      <c r="B13" s="8" t="n">
        <v>5</v>
      </c>
      <c r="C13" s="2" t="s">
        <v>165</v>
      </c>
      <c r="D13" s="23" t="n">
        <v>3</v>
      </c>
      <c r="E13" s="23" t="n">
        <v>2</v>
      </c>
      <c r="F13" s="25" t="n">
        <f aca="false">D13*E13</f>
        <v>6</v>
      </c>
      <c r="G13" s="27"/>
      <c r="H13" s="27"/>
    </row>
    <row r="14" customFormat="false" ht="23.85" hidden="false" customHeight="false" outlineLevel="0" collapsed="false">
      <c r="B14" s="8" t="n">
        <v>6</v>
      </c>
      <c r="C14" s="2" t="s">
        <v>166</v>
      </c>
      <c r="D14" s="23" t="n">
        <v>3</v>
      </c>
      <c r="E14" s="23" t="n">
        <v>2</v>
      </c>
      <c r="F14" s="25" t="n">
        <f aca="false">D14*E14</f>
        <v>6</v>
      </c>
      <c r="G14" s="27"/>
      <c r="H14" s="27"/>
    </row>
    <row r="15" customFormat="false" ht="23.85" hidden="false" customHeight="false" outlineLevel="0" collapsed="false">
      <c r="B15" s="8" t="n">
        <v>7</v>
      </c>
      <c r="C15" s="2" t="s">
        <v>167</v>
      </c>
      <c r="D15" s="23" t="n">
        <v>3</v>
      </c>
      <c r="E15" s="23" t="n">
        <v>3</v>
      </c>
      <c r="F15" s="25" t="n">
        <f aca="false">D15*E15</f>
        <v>9</v>
      </c>
      <c r="G15" s="27"/>
      <c r="H15" s="27"/>
    </row>
    <row r="16" customFormat="false" ht="23.85" hidden="false" customHeight="false" outlineLevel="0" collapsed="false">
      <c r="B16" s="8" t="n">
        <v>8</v>
      </c>
      <c r="C16" s="2" t="s">
        <v>168</v>
      </c>
      <c r="D16" s="23" t="n">
        <v>3</v>
      </c>
      <c r="E16" s="23" t="n">
        <v>3</v>
      </c>
      <c r="F16" s="25" t="n">
        <f aca="false">D16*E16</f>
        <v>9</v>
      </c>
      <c r="G16" s="27"/>
      <c r="H16" s="27"/>
    </row>
    <row r="17" customFormat="false" ht="15" hidden="false" customHeight="false" outlineLevel="0" collapsed="false">
      <c r="B17" s="8" t="n">
        <v>9</v>
      </c>
      <c r="C17" s="2" t="s">
        <v>169</v>
      </c>
      <c r="D17" s="23" t="n">
        <v>3</v>
      </c>
      <c r="E17" s="23" t="n">
        <v>2</v>
      </c>
      <c r="F17" s="25" t="n">
        <f aca="false">D17*E17</f>
        <v>6</v>
      </c>
      <c r="G17" s="27"/>
      <c r="H17" s="27"/>
    </row>
    <row r="18" customFormat="false" ht="15" hidden="false" customHeight="false" outlineLevel="0" collapsed="false">
      <c r="B18" s="26" t="s">
        <v>170</v>
      </c>
      <c r="C18" s="26"/>
      <c r="D18" s="26"/>
      <c r="E18" s="26"/>
      <c r="F18" s="26"/>
      <c r="G18" s="26"/>
      <c r="H18" s="26"/>
    </row>
    <row r="19" customFormat="false" ht="15" hidden="false" customHeight="false" outlineLevel="0" collapsed="false">
      <c r="B19" s="8" t="n">
        <v>10</v>
      </c>
      <c r="C19" s="2" t="s">
        <v>171</v>
      </c>
      <c r="D19" s="23" t="n">
        <v>3</v>
      </c>
      <c r="E19" s="23" t="n">
        <v>2</v>
      </c>
      <c r="F19" s="25" t="n">
        <f aca="false">D19*E19</f>
        <v>6</v>
      </c>
      <c r="G19" s="27"/>
      <c r="H19" s="27"/>
    </row>
    <row r="20" customFormat="false" ht="15" hidden="false" customHeight="false" outlineLevel="0" collapsed="false">
      <c r="B20" s="8" t="n">
        <v>11</v>
      </c>
      <c r="C20" s="2" t="s">
        <v>172</v>
      </c>
      <c r="D20" s="23" t="n">
        <v>3</v>
      </c>
      <c r="E20" s="23" t="n">
        <v>3</v>
      </c>
      <c r="F20" s="25" t="n">
        <f aca="false">D20*E20</f>
        <v>9</v>
      </c>
      <c r="G20" s="27"/>
      <c r="H20" s="27"/>
    </row>
    <row r="21" customFormat="false" ht="15" hidden="false" customHeight="false" outlineLevel="0" collapsed="false">
      <c r="B21" s="8" t="n">
        <v>12</v>
      </c>
      <c r="C21" s="2" t="s">
        <v>173</v>
      </c>
      <c r="D21" s="23" t="n">
        <v>3</v>
      </c>
      <c r="E21" s="23" t="n">
        <v>3</v>
      </c>
      <c r="F21" s="25" t="n">
        <f aca="false">D21*E21</f>
        <v>9</v>
      </c>
      <c r="G21" s="27"/>
      <c r="H21" s="27"/>
    </row>
    <row r="22" customFormat="false" ht="15" hidden="false" customHeight="false" outlineLevel="0" collapsed="false">
      <c r="B22" s="8" t="n">
        <v>13</v>
      </c>
      <c r="C22" s="2" t="s">
        <v>174</v>
      </c>
      <c r="D22" s="23" t="n">
        <v>3</v>
      </c>
      <c r="E22" s="23" t="n">
        <v>2</v>
      </c>
      <c r="F22" s="25" t="n">
        <f aca="false">D22*E22</f>
        <v>6</v>
      </c>
      <c r="G22" s="27"/>
      <c r="H22" s="27"/>
    </row>
    <row r="23" customFormat="false" ht="15" hidden="false" customHeight="false" outlineLevel="0" collapsed="false">
      <c r="B23" s="8" t="n">
        <v>14</v>
      </c>
      <c r="C23" s="2" t="s">
        <v>175</v>
      </c>
      <c r="D23" s="23" t="n">
        <v>3</v>
      </c>
      <c r="E23" s="23" t="n">
        <v>3</v>
      </c>
      <c r="F23" s="25" t="n">
        <f aca="false">D23*E23</f>
        <v>9</v>
      </c>
      <c r="G23" s="27"/>
      <c r="H23" s="27"/>
    </row>
    <row r="24" customFormat="false" ht="23.85" hidden="false" customHeight="false" outlineLevel="0" collapsed="false">
      <c r="B24" s="8" t="n">
        <v>15</v>
      </c>
      <c r="C24" s="2" t="s">
        <v>176</v>
      </c>
      <c r="D24" s="23" t="n">
        <v>3</v>
      </c>
      <c r="E24" s="23" t="n">
        <v>3</v>
      </c>
      <c r="F24" s="25" t="n">
        <f aca="false">D24*E24</f>
        <v>9</v>
      </c>
      <c r="G24" s="27"/>
      <c r="H24" s="27"/>
    </row>
    <row r="25" customFormat="false" ht="15" hidden="false" customHeight="false" outlineLevel="0" collapsed="false">
      <c r="B25" s="8" t="n">
        <v>16</v>
      </c>
      <c r="C25" s="2" t="s">
        <v>177</v>
      </c>
      <c r="D25" s="23" t="n">
        <v>3</v>
      </c>
      <c r="E25" s="23" t="n">
        <v>3</v>
      </c>
      <c r="F25" s="25" t="n">
        <f aca="false">D25*E25</f>
        <v>9</v>
      </c>
      <c r="G25" s="27"/>
      <c r="H25" s="27"/>
    </row>
    <row r="26" customFormat="false" ht="15" hidden="false" customHeight="false" outlineLevel="0" collapsed="false">
      <c r="B26" s="26" t="s">
        <v>178</v>
      </c>
      <c r="C26" s="26"/>
      <c r="D26" s="26"/>
      <c r="E26" s="26"/>
      <c r="F26" s="26"/>
      <c r="G26" s="26"/>
      <c r="H26" s="26"/>
    </row>
    <row r="27" customFormat="false" ht="23.85" hidden="false" customHeight="false" outlineLevel="0" collapsed="false">
      <c r="B27" s="8" t="n">
        <v>17</v>
      </c>
      <c r="C27" s="2" t="s">
        <v>179</v>
      </c>
      <c r="D27" s="23" t="n">
        <v>3</v>
      </c>
      <c r="E27" s="23" t="n">
        <v>2</v>
      </c>
      <c r="F27" s="25" t="n">
        <f aca="false">D27*E27</f>
        <v>6</v>
      </c>
      <c r="G27" s="27"/>
      <c r="H27" s="27"/>
    </row>
    <row r="28" customFormat="false" ht="23.85" hidden="false" customHeight="false" outlineLevel="0" collapsed="false">
      <c r="B28" s="8" t="n">
        <v>18</v>
      </c>
      <c r="C28" s="2" t="s">
        <v>180</v>
      </c>
      <c r="D28" s="23" t="n">
        <v>3</v>
      </c>
      <c r="E28" s="23" t="n">
        <v>2</v>
      </c>
      <c r="F28" s="25" t="n">
        <f aca="false">D28*E28</f>
        <v>6</v>
      </c>
      <c r="G28" s="27"/>
      <c r="H28" s="27"/>
    </row>
    <row r="29" customFormat="false" ht="23.85" hidden="false" customHeight="false" outlineLevel="0" collapsed="false">
      <c r="B29" s="8" t="n">
        <v>19</v>
      </c>
      <c r="C29" s="2" t="s">
        <v>181</v>
      </c>
      <c r="D29" s="23" t="n">
        <v>3</v>
      </c>
      <c r="E29" s="23" t="n">
        <v>3</v>
      </c>
      <c r="F29" s="25" t="n">
        <f aca="false">D29*E29</f>
        <v>9</v>
      </c>
      <c r="G29" s="27"/>
      <c r="H29" s="27"/>
    </row>
    <row r="30" customFormat="false" ht="23.85" hidden="false" customHeight="false" outlineLevel="0" collapsed="false">
      <c r="B30" s="8" t="n">
        <v>20</v>
      </c>
      <c r="C30" s="2" t="s">
        <v>182</v>
      </c>
      <c r="D30" s="23" t="n">
        <v>3</v>
      </c>
      <c r="E30" s="23" t="n">
        <v>2</v>
      </c>
      <c r="F30" s="25" t="n">
        <f aca="false">D30*E30</f>
        <v>6</v>
      </c>
      <c r="G30" s="27"/>
      <c r="H30" s="27"/>
    </row>
    <row r="31" customFormat="false" ht="15" hidden="false" customHeight="false" outlineLevel="0" collapsed="false">
      <c r="B31" s="8" t="n">
        <v>21</v>
      </c>
      <c r="C31" s="2" t="s">
        <v>183</v>
      </c>
      <c r="D31" s="23" t="n">
        <v>3</v>
      </c>
      <c r="E31" s="23" t="n">
        <v>2</v>
      </c>
      <c r="F31" s="25" t="n">
        <f aca="false">D31*E31</f>
        <v>6</v>
      </c>
      <c r="G31" s="27"/>
      <c r="H31" s="27"/>
    </row>
    <row r="32" customFormat="false" ht="15" hidden="false" customHeight="false" outlineLevel="0" collapsed="false">
      <c r="B32" s="26" t="s">
        <v>184</v>
      </c>
      <c r="C32" s="26"/>
      <c r="D32" s="26"/>
      <c r="E32" s="26"/>
      <c r="F32" s="26"/>
      <c r="G32" s="26"/>
      <c r="H32" s="26"/>
    </row>
    <row r="33" customFormat="false" ht="15" hidden="false" customHeight="false" outlineLevel="0" collapsed="false">
      <c r="B33" s="8" t="n">
        <v>22</v>
      </c>
      <c r="C33" s="2" t="s">
        <v>185</v>
      </c>
      <c r="D33" s="23" t="n">
        <v>3</v>
      </c>
      <c r="E33" s="23" t="n">
        <v>2</v>
      </c>
      <c r="F33" s="25" t="n">
        <f aca="false">D33*E33</f>
        <v>6</v>
      </c>
      <c r="G33" s="27"/>
      <c r="H33" s="27"/>
    </row>
    <row r="34" customFormat="false" ht="23.85" hidden="false" customHeight="false" outlineLevel="0" collapsed="false">
      <c r="B34" s="8" t="n">
        <v>23</v>
      </c>
      <c r="C34" s="2" t="s">
        <v>186</v>
      </c>
      <c r="D34" s="23" t="n">
        <v>3</v>
      </c>
      <c r="E34" s="23" t="n">
        <v>3</v>
      </c>
      <c r="F34" s="25" t="n">
        <f aca="false">D34*E34</f>
        <v>9</v>
      </c>
      <c r="G34" s="27"/>
      <c r="H34" s="27"/>
    </row>
    <row r="35" customFormat="false" ht="15" hidden="false" customHeight="false" outlineLevel="0" collapsed="false">
      <c r="B35" s="8" t="n">
        <v>24</v>
      </c>
      <c r="C35" s="2" t="s">
        <v>187</v>
      </c>
      <c r="D35" s="23" t="n">
        <v>3</v>
      </c>
      <c r="E35" s="23" t="n">
        <v>2</v>
      </c>
      <c r="F35" s="25" t="n">
        <f aca="false">D35*E35</f>
        <v>6</v>
      </c>
      <c r="G35" s="27"/>
      <c r="H35" s="27"/>
    </row>
    <row r="36" customFormat="false" ht="15" hidden="false" customHeight="false" outlineLevel="0" collapsed="false">
      <c r="B36" s="8" t="n">
        <v>25</v>
      </c>
      <c r="C36" s="2" t="s">
        <v>188</v>
      </c>
      <c r="D36" s="23" t="n">
        <v>3</v>
      </c>
      <c r="E36" s="23" t="n">
        <v>1</v>
      </c>
      <c r="F36" s="25" t="n">
        <f aca="false">D36*E36</f>
        <v>3</v>
      </c>
      <c r="G36" s="27"/>
      <c r="H36" s="27"/>
    </row>
    <row r="37" customFormat="false" ht="15" hidden="false" customHeight="false" outlineLevel="0" collapsed="false">
      <c r="B37" s="8" t="n">
        <v>26</v>
      </c>
      <c r="C37" s="2" t="s">
        <v>189</v>
      </c>
      <c r="D37" s="23" t="n">
        <v>3</v>
      </c>
      <c r="E37" s="23" t="n">
        <v>2</v>
      </c>
      <c r="F37" s="25" t="n">
        <f aca="false">D37*E37</f>
        <v>6</v>
      </c>
      <c r="G37" s="27"/>
      <c r="H37" s="27"/>
    </row>
    <row r="38" customFormat="false" ht="23.85" hidden="false" customHeight="false" outlineLevel="0" collapsed="false">
      <c r="B38" s="8" t="n">
        <v>27</v>
      </c>
      <c r="C38" s="2" t="s">
        <v>190</v>
      </c>
      <c r="D38" s="23" t="n">
        <v>3</v>
      </c>
      <c r="E38" s="23" t="n">
        <v>3</v>
      </c>
      <c r="F38" s="25" t="n">
        <f aca="false">D38*E38</f>
        <v>9</v>
      </c>
      <c r="G38" s="27"/>
      <c r="H38" s="27"/>
    </row>
    <row r="39" customFormat="false" ht="15" hidden="false" customHeight="false" outlineLevel="0" collapsed="false">
      <c r="B39" s="26" t="s">
        <v>191</v>
      </c>
      <c r="C39" s="26"/>
      <c r="D39" s="26"/>
      <c r="E39" s="26"/>
      <c r="F39" s="26"/>
      <c r="G39" s="26"/>
      <c r="H39" s="26"/>
    </row>
    <row r="40" customFormat="false" ht="15" hidden="false" customHeight="false" outlineLevel="0" collapsed="false">
      <c r="B40" s="8" t="n">
        <v>28</v>
      </c>
      <c r="C40" s="2" t="s">
        <v>192</v>
      </c>
      <c r="D40" s="23" t="n">
        <v>3</v>
      </c>
      <c r="E40" s="23" t="n">
        <v>2</v>
      </c>
      <c r="F40" s="25" t="n">
        <f aca="false">D40*E40</f>
        <v>6</v>
      </c>
      <c r="G40" s="27"/>
      <c r="H40" s="27"/>
    </row>
    <row r="41" customFormat="false" ht="15" hidden="false" customHeight="false" outlineLevel="0" collapsed="false">
      <c r="B41" s="8" t="n">
        <v>29</v>
      </c>
      <c r="C41" s="2" t="s">
        <v>193</v>
      </c>
      <c r="D41" s="23" t="n">
        <v>3</v>
      </c>
      <c r="E41" s="23" t="n">
        <v>3</v>
      </c>
      <c r="F41" s="25" t="n">
        <f aca="false">D41*E41</f>
        <v>9</v>
      </c>
      <c r="G41" s="27"/>
      <c r="H41" s="27"/>
    </row>
    <row r="42" customFormat="false" ht="15" hidden="false" customHeight="false" outlineLevel="0" collapsed="false">
      <c r="B42" s="8" t="n">
        <v>30</v>
      </c>
      <c r="C42" s="2" t="s">
        <v>194</v>
      </c>
      <c r="D42" s="23" t="n">
        <v>3</v>
      </c>
      <c r="E42" s="23" t="n">
        <v>2</v>
      </c>
      <c r="F42" s="25" t="n">
        <f aca="false">D42*E42</f>
        <v>6</v>
      </c>
      <c r="G42" s="27"/>
      <c r="H42" s="27"/>
    </row>
    <row r="43" customFormat="false" ht="15" hidden="false" customHeight="false" outlineLevel="0" collapsed="false">
      <c r="B43" s="8" t="n">
        <v>31</v>
      </c>
      <c r="C43" s="2" t="s">
        <v>195</v>
      </c>
      <c r="D43" s="23" t="n">
        <v>3</v>
      </c>
      <c r="E43" s="23" t="n">
        <v>3</v>
      </c>
      <c r="F43" s="25" t="n">
        <f aca="false">D43*E43</f>
        <v>9</v>
      </c>
      <c r="G43" s="27"/>
      <c r="H43" s="27"/>
    </row>
    <row r="44" customFormat="false" ht="15" hidden="false" customHeight="false" outlineLevel="0" collapsed="false">
      <c r="B44" s="8" t="n">
        <v>32</v>
      </c>
      <c r="C44" s="2" t="s">
        <v>196</v>
      </c>
      <c r="D44" s="23" t="n">
        <v>3</v>
      </c>
      <c r="E44" s="23" t="n">
        <v>2</v>
      </c>
      <c r="F44" s="25" t="n">
        <f aca="false">D44*E44</f>
        <v>6</v>
      </c>
      <c r="G44" s="27"/>
      <c r="H44" s="27"/>
    </row>
    <row r="46" customFormat="false" ht="27.75" hidden="false" customHeight="true" outlineLevel="0" collapsed="false">
      <c r="C46" s="7"/>
      <c r="D46" s="7" t="s">
        <v>32</v>
      </c>
      <c r="H46" s="7" t="s">
        <v>23</v>
      </c>
    </row>
    <row r="47" customFormat="false" ht="15" hidden="false" customHeight="false" outlineLevel="0" collapsed="false">
      <c r="C47" s="14" t="s">
        <v>197</v>
      </c>
      <c r="D47" s="28" t="n">
        <f aca="false">IFERROR(SUMPRODUCT($D$8:$D$44,$E$8:$E$44)/SUM($E$8:$E$44),0)</f>
        <v>3</v>
      </c>
      <c r="H47" s="5"/>
    </row>
    <row r="48" customFormat="false" ht="22.35" hidden="false" customHeight="false" outlineLevel="0" collapsed="false">
      <c r="C48" s="14" t="s">
        <v>198</v>
      </c>
      <c r="D48" s="25" t="n">
        <f aca="false">COUNTIF($D$8:$D$44,"&lt;=2")</f>
        <v>0</v>
      </c>
      <c r="H48" s="5" t="s">
        <v>199</v>
      </c>
    </row>
    <row r="49" customFormat="false" ht="15" hidden="false" customHeight="false" outlineLevel="0" collapsed="false">
      <c r="C49" s="14" t="s">
        <v>200</v>
      </c>
      <c r="D49" s="25" t="n">
        <f aca="false">IFERROR(SUMPRODUCT(($D$8:$D$44&lt;=2)*$E$8:$E$44),0)</f>
        <v>0</v>
      </c>
      <c r="H49" s="5" t="s">
        <v>201</v>
      </c>
    </row>
    <row r="50" customFormat="false" ht="22.35" hidden="false" customHeight="false" outlineLevel="0" collapsed="false">
      <c r="C50" s="14" t="s">
        <v>202</v>
      </c>
      <c r="D50" s="25" t="n">
        <f aca="false">SUMPRODUCT((TRIM($H$8:$H$44)="")*1)</f>
        <v>37</v>
      </c>
      <c r="H50" s="5" t="s">
        <v>203</v>
      </c>
    </row>
    <row r="51" customFormat="false" ht="15" hidden="false" customHeight="false" outlineLevel="0" collapsed="false">
      <c r="C51" s="14" t="s">
        <v>204</v>
      </c>
      <c r="D51" s="25" t="n">
        <f aca="false">SUMPRODUCT((TRIM($G$8:$G$44)="")*1)</f>
        <v>37</v>
      </c>
      <c r="H51" s="5"/>
    </row>
    <row r="52" customFormat="false" ht="22.35" hidden="false" customHeight="false" outlineLevel="0" collapsed="false">
      <c r="C52" s="14" t="s">
        <v>205</v>
      </c>
      <c r="D52" s="14" t="str">
        <f aca="false">IF($D$15&gt;=4,"Yes","NOT DONE")</f>
        <v>NOT DONE</v>
      </c>
      <c r="H52" s="5" t="s">
        <v>206</v>
      </c>
    </row>
    <row r="53" customFormat="false" ht="15" hidden="false" customHeight="false" outlineLevel="0" collapsed="false">
      <c r="C53" s="4" t="s">
        <v>207</v>
      </c>
      <c r="D53" s="29" t="str">
        <f aca="false">IF(SUMPRODUCT((TRIM($H$8:$H$44)="")*1)&gt;0,"Incomplete — evidence missing",IF(IFERROR(SUMPRODUCT($D$8:$D$44,$E$8:$E$44)/SUM($E$8:$E$44),0)&gt;=4,"Commit",IF(IFERROR(SUMPRODUCT($D$8:$D$44,$E$8:$E$44)/SUM($E$8:$E$44),0)&gt;=3.2,"Commit with conditions","Pass")))</f>
        <v>Incomplete — evidence missing</v>
      </c>
      <c r="H53" s="5"/>
    </row>
    <row r="55" customFormat="false" ht="39.75" hidden="false" customHeight="true" outlineLevel="0" collapsed="false">
      <c r="B55" s="18" t="s">
        <v>208</v>
      </c>
      <c r="C55" s="18"/>
      <c r="D55" s="18"/>
      <c r="E55" s="18"/>
      <c r="F55" s="18"/>
      <c r="G55" s="18"/>
      <c r="H55" s="18"/>
    </row>
  </sheetData>
  <mergeCells count="8">
    <mergeCell ref="B4:H4"/>
    <mergeCell ref="B7:H7"/>
    <mergeCell ref="B11:H11"/>
    <mergeCell ref="B18:H18"/>
    <mergeCell ref="B26:H26"/>
    <mergeCell ref="B32:H32"/>
    <mergeCell ref="B39:H39"/>
    <mergeCell ref="B55:H5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6"/>
    <col collapsed="false" customWidth="true" hidden="false" outlineLevel="0" max="4" min="3" style="0" width="18"/>
    <col collapsed="false" customWidth="true" hidden="false" outlineLevel="0" max="5" min="5" style="0" width="11"/>
    <col collapsed="false" customWidth="true" hidden="false" outlineLevel="0" max="6" min="6" style="0" width="46"/>
  </cols>
  <sheetData>
    <row r="2" customFormat="false" ht="17.35" hidden="false" customHeight="false" outlineLevel="0" collapsed="false">
      <c r="B2" s="1" t="s">
        <v>11</v>
      </c>
    </row>
    <row r="4" customFormat="false" ht="15" hidden="false" customHeight="true" outlineLevel="0" collapsed="false">
      <c r="B4" s="6" t="s">
        <v>209</v>
      </c>
      <c r="C4" s="6"/>
      <c r="D4" s="6"/>
      <c r="E4" s="6"/>
      <c r="F4" s="6"/>
    </row>
    <row r="6" customFormat="false" ht="27.75" hidden="false" customHeight="true" outlineLevel="0" collapsed="false">
      <c r="B6" s="7" t="s">
        <v>210</v>
      </c>
      <c r="C6" s="7" t="s">
        <v>211</v>
      </c>
      <c r="D6" s="7" t="s">
        <v>212</v>
      </c>
      <c r="E6" s="7" t="s">
        <v>213</v>
      </c>
      <c r="F6" s="7" t="s">
        <v>214</v>
      </c>
    </row>
    <row r="8" customFormat="false" ht="15" hidden="false" customHeight="false" outlineLevel="0" collapsed="false">
      <c r="B8" s="3" t="s">
        <v>215</v>
      </c>
    </row>
    <row r="9" customFormat="false" ht="27.75" hidden="false" customHeight="true" outlineLevel="0" collapsed="false">
      <c r="B9" s="7" t="s">
        <v>210</v>
      </c>
      <c r="C9" s="7" t="s">
        <v>216</v>
      </c>
      <c r="D9" s="7" t="s">
        <v>217</v>
      </c>
      <c r="E9" s="7" t="s">
        <v>213</v>
      </c>
      <c r="F9" s="7" t="s">
        <v>23</v>
      </c>
    </row>
    <row r="10" customFormat="false" ht="15" hidden="false" customHeight="false" outlineLevel="0" collapsed="false">
      <c r="B10" s="14" t="s">
        <v>218</v>
      </c>
      <c r="C10" s="15" t="n">
        <f aca="false">'Fund Metrics'!$C$28+'Fund Metrics'!$C$29</f>
        <v>1.965</v>
      </c>
      <c r="D10" s="15" t="n">
        <f aca="false">'Fund Metrics'!$C$30</f>
        <v>1.965</v>
      </c>
      <c r="E10" s="30" t="str">
        <f aca="false">IF(ABS(D10-C10)&lt;=0.0001,"OK","ECART")</f>
        <v>OK</v>
      </c>
      <c r="F10" s="5" t="s">
        <v>219</v>
      </c>
    </row>
    <row r="11" customFormat="false" ht="15" hidden="false" customHeight="false" outlineLevel="0" collapsed="false">
      <c r="B11" s="14" t="s">
        <v>220</v>
      </c>
      <c r="C11" s="10" t="n">
        <f aca="false">-SUM('Fund Metrics'!$C$7:$C$16)</f>
        <v>200000000</v>
      </c>
      <c r="D11" s="10" t="n">
        <f aca="false">'Fund Metrics'!$C$26</f>
        <v>200000000</v>
      </c>
      <c r="E11" s="30" t="str">
        <f aca="false">IF(ABS(D11-C11)&lt;=1,"OK","ECART")</f>
        <v>OK</v>
      </c>
      <c r="F11" s="5"/>
    </row>
    <row r="12" customFormat="false" ht="15" hidden="false" customHeight="false" outlineLevel="0" collapsed="false">
      <c r="B12" s="14" t="s">
        <v>221</v>
      </c>
      <c r="C12" s="25" t="n">
        <v>1</v>
      </c>
      <c r="D12" s="25" t="n">
        <f aca="false">IF('Fund Metrics'!$C$50&gt;'Fund Metrics'!$C$32,1,0)</f>
        <v>1</v>
      </c>
      <c r="E12" s="30" t="str">
        <f aca="false">IF(ABS(D12-C12)&lt;=0.0001,"OK","ECART")</f>
        <v>OK</v>
      </c>
      <c r="F12" s="5" t="s">
        <v>222</v>
      </c>
    </row>
    <row r="13" customFormat="false" ht="15" hidden="false" customHeight="false" outlineLevel="0" collapsed="false">
      <c r="B13" s="14" t="s">
        <v>223</v>
      </c>
      <c r="C13" s="10" t="n">
        <f aca="false">'Gross to Net'!$C$30+'Gross to Net'!$C$33</f>
        <v>356520000</v>
      </c>
      <c r="D13" s="10" t="n">
        <f aca="false">'Gross to Net'!$C$34</f>
        <v>356520000</v>
      </c>
      <c r="E13" s="30" t="str">
        <f aca="false">IF(ABS(D13-C13)&lt;=1,"OK","ECART")</f>
        <v>OK</v>
      </c>
      <c r="F13" s="5"/>
    </row>
    <row r="14" customFormat="false" ht="15" hidden="false" customHeight="false" outlineLevel="0" collapsed="false">
      <c r="B14" s="14" t="s">
        <v>224</v>
      </c>
      <c r="C14" s="25" t="n">
        <v>1</v>
      </c>
      <c r="D14" s="25" t="n">
        <f aca="false">IF('Gross to Net'!$C$39&lt;'Gross to Net'!$C$38,1,0)</f>
        <v>1</v>
      </c>
      <c r="E14" s="30" t="str">
        <f aca="false">IF(ABS(D14-C14)&lt;=0.0001,"OK","ECART")</f>
        <v>OK</v>
      </c>
      <c r="F14" s="5"/>
    </row>
    <row r="15" customFormat="false" ht="15" hidden="false" customHeight="false" outlineLevel="0" collapsed="false">
      <c r="B15" s="14" t="s">
        <v>225</v>
      </c>
      <c r="C15" s="10" t="n">
        <f aca="false">'Gross to Net'!$C$41</f>
        <v>73480000</v>
      </c>
      <c r="D15" s="10" t="n">
        <f aca="false">'Gross to Net'!$C$42+'Gross to Net'!$C$43+'Gross to Net'!$C$44</f>
        <v>73480000</v>
      </c>
      <c r="E15" s="30" t="str">
        <f aca="false">IF(ABS(D15-C15)&lt;=1,"OK","ECART")</f>
        <v>OK</v>
      </c>
      <c r="F15" s="5"/>
    </row>
    <row r="16" customFormat="false" ht="15" hidden="false" customHeight="false" outlineLevel="0" collapsed="false">
      <c r="B16" s="14" t="s">
        <v>226</v>
      </c>
      <c r="C16" s="10" t="n">
        <f aca="false">SUM('J-Curve'!$G$23:$G$35)</f>
        <v>155000000</v>
      </c>
      <c r="D16" s="10" t="n">
        <f aca="false">SUM('J-Curve'!$C$23:$F$35)</f>
        <v>155000000</v>
      </c>
      <c r="E16" s="30" t="str">
        <f aca="false">IF(ABS(D16-C16)&lt;=1,"OK","ECART")</f>
        <v>OK</v>
      </c>
      <c r="F16" s="5"/>
    </row>
    <row r="17" customFormat="false" ht="15" hidden="false" customHeight="false" outlineLevel="0" collapsed="false">
      <c r="B17" s="14" t="s">
        <v>227</v>
      </c>
      <c r="C17" s="25" t="n">
        <v>1</v>
      </c>
      <c r="D17" s="25" t="n">
        <f aca="false">IF('J-Curve'!$C$47&gt;'J-Curve'!$C$46,1,0)</f>
        <v>1</v>
      </c>
      <c r="E17" s="30" t="str">
        <f aca="false">IF(ABS(D17-C17)&lt;=0.0001,"OK","ECART")</f>
        <v>OK</v>
      </c>
      <c r="F17" s="5" t="s">
        <v>228</v>
      </c>
    </row>
    <row r="19" customFormat="false" ht="15" hidden="false" customHeight="false" outlineLevel="0" collapsed="false">
      <c r="B19" s="4" t="s">
        <v>229</v>
      </c>
      <c r="D19" s="29" t="str">
        <f aca="false">IF(COUNTIF(E7:E6,"OK")+COUNTIF(E10:E17,"OK")=8,"TOUT CONCORDE","VERIFIER")</f>
        <v>TOUT CONCORDE</v>
      </c>
    </row>
  </sheetData>
  <mergeCells count="1">
    <mergeCell ref="B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2026-08-12T19:48:47Z</dcterms:created>
  <dc:creator>openpyxl</dc:creator>
  <dc:description/>
  <dc:language>en-US</dc:language>
  <cp:lastModifiedBy/>
  <dcterms:modified xsi:type="dcterms:W3CDTF">2026-08-12T19:48:47Z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