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Me" sheetId="1" state="visible" r:id="rId3"/>
    <sheet name="Value-Add Stack" sheetId="2" state="visible" r:id="rId4"/>
    <sheet name="Development Stack" sheetId="3" state="visible" r:id="rId5"/>
    <sheet name="Leverage Math" sheetId="4" state="visible" r:id="rId6"/>
    <sheet name="Mezz vs Pref" sheetId="5" state="visible" r:id="rId7"/>
    <sheet name="Checks" sheetId="6" state="visible" r:id="rId8"/>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<sst xmlns="http://schemas.openxmlformats.org/spreadsheetml/2006/main" count="269" uniqueCount="230">
  <si>
    <t xml:space="preserve">Private Equity Real Estate — The Capital Stack</t>
  </si>
  <si>
    <t xml:space="preserve">Companion workbook to Chapter 21 of "Private Equity Real Estate" by Julian R. Sterling. Free, ungated, and yours to reuse.</t>
  </si>
  <si>
    <t xml:space="preserve">Sheets</t>
  </si>
  <si>
    <t xml:space="preserve">Value-Add Stack</t>
  </si>
  <si>
    <t xml:space="preserve">      The $56M value-add stack the chapter sets out, live: $50M purchase, $5M renovation, $1M closing and reserves, a 65% loan-to-cost senior, and $19.6M of equity split between GP co-investment and fund capital.</t>
  </si>
  <si>
    <t xml:space="preserve">Development Stack</t>
  </si>
  <si>
    <t xml:space="preserve">      The four-layer $100M development stack: 65% construction loan, 10% mezzanine at 11%, 5% preferred equity at 9%, 20% common. Includes the blended cost of capital, which is the number the chapter is implicitly arguing about.</t>
  </si>
  <si>
    <t xml:space="preserve">Leverage Math</t>
  </si>
  <si>
    <t xml:space="preserve">      The 70% LTV example the chapter uses to show amplification, worked properly, with the full ladder from 0% to 85% leverage in both directions.</t>
  </si>
  <si>
    <t xml:space="preserve">Mezz vs Pref</t>
  </si>
  <si>
    <t xml:space="preserve">      What the two junior layers actually cost across a range of outcomes, and where each one stops being worth it.</t>
  </si>
  <si>
    <t xml:space="preserve">Checks</t>
  </si>
  <si>
    <t xml:space="preserve">      Every figure the chapter prints, against what this workbook computes.</t>
  </si>
  <si>
    <t xml:space="preserve">Blue on yellow is an input. Black is a formula. Green links to another sheet. Nothing is hard-coded to force the book's answer — clear the inputs and the model empties out instead of lying to you.</t>
  </si>
  <si>
    <t xml:space="preserve">Source: Private Equity Real Estate, Chapter 21. All figures in US dollars.</t>
  </si>
  <si>
    <t xml:space="preserve">The value-add stack</t>
  </si>
  <si>
    <t xml:space="preserve">"Total uses: $50M (purchase price) + $5M (renovation) + $1M (closing costs and reserves) = $56M. Senior loan: 65% of total cost = $36.4M... Equity: $19.6M, of which $3M is GP co-investment (15%) and $16.6M is LP capital from the fund."</t>
  </si>
  <si>
    <t xml:space="preserve">Uses</t>
  </si>
  <si>
    <t xml:space="preserve">Amount</t>
  </si>
  <si>
    <t xml:space="preserve">Share</t>
  </si>
  <si>
    <t xml:space="preserve">Note</t>
  </si>
  <si>
    <t xml:space="preserve">Purchase price</t>
  </si>
  <si>
    <t xml:space="preserve">Renovation</t>
  </si>
  <si>
    <t xml:space="preserve">Closing costs and reserves</t>
  </si>
  <si>
    <t xml:space="preserve">Total uses</t>
  </si>
  <si>
    <t xml:space="preserve">Chapter: $56M</t>
  </si>
  <si>
    <t xml:space="preserve">Sources</t>
  </si>
  <si>
    <t xml:space="preserve">Share of uses</t>
  </si>
  <si>
    <t xml:space="preserve">Senior loan</t>
  </si>
  <si>
    <t xml:space="preserve">Chapter: "65% of total cost = $36.4M". Floating rate, three-year term, thirty-year amortisation.</t>
  </si>
  <si>
    <t xml:space="preserve">Equity</t>
  </si>
  <si>
    <t xml:space="preserve">Chapter: $19.6M</t>
  </si>
  <si>
    <t xml:space="preserve">   of which GP co-investment</t>
  </si>
  <si>
    <t xml:space="preserve">Chapter: "$3M is GP co-investment (15%)". As a share of equity that is 15.3%.</t>
  </si>
  <si>
    <t xml:space="preserve">   of which LP capital from the fund</t>
  </si>
  <si>
    <t xml:space="preserve">Chapter: $16.6M</t>
  </si>
  <si>
    <t xml:space="preserve">Total sources</t>
  </si>
  <si>
    <t xml:space="preserve">Must equal total uses.</t>
  </si>
  <si>
    <t xml:space="preserve">Terms</t>
  </si>
  <si>
    <t xml:space="preserve">Value</t>
  </si>
  <si>
    <t xml:space="preserve">Loan to cost</t>
  </si>
  <si>
    <t xml:space="preserve">Chapter: 65%</t>
  </si>
  <si>
    <t xml:space="preserve">Interest rate</t>
  </si>
  <si>
    <t xml:space="preserve">Illustrative — the chapter gives the structure, not the pricing.</t>
  </si>
  <si>
    <t xml:space="preserve">Amortisation (years)</t>
  </si>
  <si>
    <t xml:space="preserve">Chapter: thirty-year amortisation.</t>
  </si>
  <si>
    <t xml:space="preserve">Term (years)</t>
  </si>
  <si>
    <t xml:space="preserve">Chapter: three-year term.</t>
  </si>
  <si>
    <t xml:space="preserve">Stabilised NOI after renovation</t>
  </si>
  <si>
    <t xml:space="preserve">Illustrative: an 8.0% yield on the $56M of cost.</t>
  </si>
  <si>
    <t xml:space="preserve">Exit cap rate</t>
  </si>
  <si>
    <t xml:space="preserve">Illustrative.</t>
  </si>
  <si>
    <t xml:space="preserve">Selling costs</t>
  </si>
  <si>
    <t xml:space="preserve">Chapter 18: "typically 1.5–3% of gross sale price".</t>
  </si>
  <si>
    <t xml:space="preserve">What the stack does</t>
  </si>
  <si>
    <t xml:space="preserve">Annual debt service</t>
  </si>
  <si>
    <t xml:space="preserve">Thirty-year amortisation on a three-year term: most of the balance is still there at maturity.</t>
  </si>
  <si>
    <t xml:space="preserve">DSCR at stabilisation</t>
  </si>
  <si>
    <t xml:space="preserve">Debt yield at stabilisation</t>
  </si>
  <si>
    <t xml:space="preserve">Yield on cost</t>
  </si>
  <si>
    <t xml:space="preserve">Exit value</t>
  </si>
  <si>
    <t xml:space="preserve">Net sale proceeds</t>
  </si>
  <si>
    <t xml:space="preserve">Loan balance at the end of the term</t>
  </si>
  <si>
    <t xml:space="preserve">Amortised for three years only.</t>
  </si>
  <si>
    <t xml:space="preserve">Equity proceeds at exit</t>
  </si>
  <si>
    <t xml:space="preserve">Equity multiple, before interim cash flow</t>
  </si>
  <si>
    <t xml:space="preserve">Ignores operating cash flow during the renovation, which in a value-add deal is close to nothing.</t>
  </si>
  <si>
    <t xml:space="preserve">GP share of the equity proceeds</t>
  </si>
  <si>
    <t xml:space="preserve">Before any promote. The promote is on the Waterfall workbook.</t>
  </si>
  <si>
    <t xml:space="preserve">The development stack — four layers</t>
  </si>
  <si>
    <t xml:space="preserve">"Total uses: $100M (land + hard costs + soft costs + carry). Construction loan: 65% of cost = $65M... Mezzanine: 10% = $10M, 11% rate, behind senior, ahead of equity. Preferred equity: 5% = $5M, 9% pref, ahead of common equity. Common equity: 20% = $20M."</t>
  </si>
  <si>
    <t xml:space="preserve">Land, hard costs, soft costs and carry</t>
  </si>
  <si>
    <t xml:space="preserve">Chapter: $100M</t>
  </si>
  <si>
    <t xml:space="preserve">The four layers</t>
  </si>
  <si>
    <t xml:space="preserve">Layer</t>
  </si>
  <si>
    <t xml:space="preserve">Share of cost</t>
  </si>
  <si>
    <t xml:space="preserve">Rate</t>
  </si>
  <si>
    <t xml:space="preserve">Annual cost</t>
  </si>
  <si>
    <t xml:space="preserve">Position</t>
  </si>
  <si>
    <t xml:space="preserve">Construction loan</t>
  </si>
  <si>
    <t xml:space="preserve">Senior. First money out, first money repaid.</t>
  </si>
  <si>
    <t xml:space="preserve">Mezzanine</t>
  </si>
  <si>
    <t xml:space="preserve">Chapter: "11% rate, behind senior, ahead of equity". Rates typically 8-14%.</t>
  </si>
  <si>
    <t xml:space="preserve">Preferred equity</t>
  </si>
  <si>
    <t xml:space="preserve">Chapter: "9% pref, ahead of common equity". Rates often 8-12%.</t>
  </si>
  <si>
    <t xml:space="preserve">Common equity</t>
  </si>
  <si>
    <t xml:space="preserve">residual</t>
  </si>
  <si>
    <t xml:space="preserve">Sponsor co-invest and LP capital. Takes what is left.</t>
  </si>
  <si>
    <t xml:space="preserve">Total</t>
  </si>
  <si>
    <t xml:space="preserve">Shares must sum to 100% and amounts to total uses.</t>
  </si>
  <si>
    <t xml:space="preserve">What the stack costs</t>
  </si>
  <si>
    <t xml:space="preserve">Total leverage (senior plus mezzanine)</t>
  </si>
  <si>
    <t xml:space="preserve">Chapter: "Total leverage is 75% of the capital stack".</t>
  </si>
  <si>
    <t xml:space="preserve">Everything ahead of common equity</t>
  </si>
  <si>
    <t xml:space="preserve">Preferred equity is equity in name and debt in behaviour.</t>
  </si>
  <si>
    <t xml:space="preserve">Annual carry cost of the three priority layers</t>
  </si>
  <si>
    <t xml:space="preserve">Capitalised during construction, but it is real money.</t>
  </si>
  <si>
    <t xml:space="preserve">Blended cost of the priority capital</t>
  </si>
  <si>
    <t xml:space="preserve">What the first 80% of the stack actually costs.</t>
  </si>
  <si>
    <t xml:space="preserve">Blended cost including common at a 15% target</t>
  </si>
  <si>
    <t xml:space="preserve">The full weighted average cost of capital for the project.</t>
  </si>
  <si>
    <t xml:space="preserve">Yield on cost needed to cover the priority layers</t>
  </si>
  <si>
    <t xml:space="preserve">Below this, the common equity is funding the coupon on the layers above it.</t>
  </si>
  <si>
    <t xml:space="preserve">Common equity as a share of the equity-like capital</t>
  </si>
  <si>
    <t xml:space="preserve">What each layer gets back, by exit value</t>
  </si>
  <si>
    <t xml:space="preserve">Priority runs top to bottom. The common equity is the residual claimant, which is the whole point of where it sits.</t>
  </si>
  <si>
    <t xml:space="preserve">Common equity multiple</t>
  </si>
  <si>
    <t xml:space="preserve">What leverage actually does</t>
  </si>
  <si>
    <t xml:space="preserve">"At 70% LTV, a 10% gain in property value translates to roughly a 33% gain in equity value... The same 10% loss in property value translates to a 33% loss in equity. Higher leverage amplifies both directions." The chapter is right about the answer. The derivation printed in the parenthesis alongside it does not reach it — see the note at the bottom of this sheet.</t>
  </si>
  <si>
    <t xml:space="preserve">The chapter's example</t>
  </si>
  <si>
    <t xml:space="preserve">Working</t>
  </si>
  <si>
    <t xml:space="preserve">Property value at entry</t>
  </si>
  <si>
    <t xml:space="preserve">Indexed to 1.00 so the arithmetic is visible.</t>
  </si>
  <si>
    <t xml:space="preserve">Loan to value</t>
  </si>
  <si>
    <t xml:space="preserve">Chapter: 70% LTV</t>
  </si>
  <si>
    <t xml:space="preserve">Change in property value</t>
  </si>
  <si>
    <t xml:space="preserve">Chapter: a 10% gain</t>
  </si>
  <si>
    <t xml:space="preserve">Debt</t>
  </si>
  <si>
    <t xml:space="preserve">Fixed. It does not move with the property.</t>
  </si>
  <si>
    <t xml:space="preserve">Equity at entry</t>
  </si>
  <si>
    <t xml:space="preserve">0.30 in the chapter's example.</t>
  </si>
  <si>
    <t xml:space="preserve">Property value after the change</t>
  </si>
  <si>
    <t xml:space="preserve">1.10</t>
  </si>
  <si>
    <t xml:space="preserve">Equity after the change</t>
  </si>
  <si>
    <t xml:space="preserve">1.10 less the 0.70 of debt = 0.40</t>
  </si>
  <si>
    <t xml:space="preserve">Change in equity value</t>
  </si>
  <si>
    <t xml:space="preserve">0.40 / 0.30 – 1 = 33.3%. This is the chapter's answer.</t>
  </si>
  <si>
    <t xml:space="preserve">Amplification factor</t>
  </si>
  <si>
    <t xml:space="preserve">The change in equity is always the change in property value times 1/(1-LTV).</t>
  </si>
  <si>
    <t xml:space="preserve">The full ladder, both directions</t>
  </si>
  <si>
    <t xml:space="preserve">Equity after +10%</t>
  </si>
  <si>
    <t xml:space="preserve">Change</t>
  </si>
  <si>
    <t xml:space="preserve">Equity after -10%</t>
  </si>
  <si>
    <t xml:space="preserve">Amplification</t>
  </si>
  <si>
    <t xml:space="preserve">The symmetry is the point. At 85% leverage a 10% fall wipes out two thirds of the equity, and a 15% fall wipes out all of it. Real estate's consolation — that there is a physical asset underneath — only limits the loss below the loan, not above it.</t>
  </si>
  <si>
    <t xml:space="preserve">How far the property can fall before the equity is gone</t>
  </si>
  <si>
    <t xml:space="preserve">Value fall that wipes out the equity</t>
  </si>
  <si>
    <t xml:space="preserve">Fall that breaches a 90% LTV covenant</t>
  </si>
  <si>
    <t xml:space="preserve">A note on the printed derivation</t>
  </si>
  <si>
    <t xml:space="preserve">Alongside the 33% figure the chapter prints "(1.10 / 0.30 = 3.67, less the 0.30 cost basis = 2.67, or 33% above 1.0 multiple)". The 33% is correct and the surrounding sentences are correct, but that parenthesis does not produce it: 1.10 divided by 0.30 is 3.67, subtracting 0.30 gives 3.37 rather than 2.67, and neither figure is 1.33. The working is the one in the block at the top of this sheet — equity after the change is 1.10 less the 0.70 of unchanged debt, which is 0.40, and 0.40 over 0.30 is 1.333. Same answer, reachable arithmetic.</t>
  </si>
  <si>
    <t xml:space="preserve">Mezzanine against preferred equity</t>
  </si>
  <si>
    <t xml:space="preserve">The chapter gives ranges rather than a single answer: mezzanine at 8-14%, preferred equity often 8-12%, "sometimes higher". The choice is rarely about the coupon alone. This sheet prices the same $15M of junior capital both ways on the development stack, across outcomes.</t>
  </si>
  <si>
    <t xml:space="preserve">Inputs</t>
  </si>
  <si>
    <t xml:space="preserve">Junior capital needed</t>
  </si>
  <si>
    <t xml:space="preserve">The $10M mezzanine plus $5M preferred from the development stack, taken together.</t>
  </si>
  <si>
    <t xml:space="preserve">Mezzanine rate</t>
  </si>
  <si>
    <t xml:space="preserve">Chapter: 11% on this deal; the range is 8-14%.</t>
  </si>
  <si>
    <t xml:space="preserve">Preferred equity rate</t>
  </si>
  <si>
    <t xml:space="preserve">Chapter: 9% on this deal; the range is 8-12%.</t>
  </si>
  <si>
    <t xml:space="preserve">Senior rate</t>
  </si>
  <si>
    <t xml:space="preserve">Construction plus lease-up.</t>
  </si>
  <si>
    <t xml:space="preserve">Maximum senior loan if there is no mezzanine</t>
  </si>
  <si>
    <t xml:space="preserve">Senior lenders size down when a mezzanine sits behind them — or refuse the intercreditor entirely.</t>
  </si>
  <si>
    <t xml:space="preserve">All mezzanine</t>
  </si>
  <si>
    <t xml:space="preserve">All preferred equity</t>
  </si>
  <si>
    <t xml:space="preserve">Junior capital</t>
  </si>
  <si>
    <t xml:space="preserve">Cost over the term</t>
  </si>
  <si>
    <t xml:space="preserve">Simple, not compounded — most pref accrues and compounds, which is worse.</t>
  </si>
  <si>
    <t xml:space="preserve">Compounded over the term</t>
  </si>
  <si>
    <t xml:space="preserve">The realistic case when neither is paid current during construction.</t>
  </si>
  <si>
    <t xml:space="preserve">Total owed at the end of the term</t>
  </si>
  <si>
    <t xml:space="preserve">Ranks ahead of common equity</t>
  </si>
  <si>
    <t xml:space="preserve">Yes</t>
  </si>
  <si>
    <t xml:space="preserve">Can foreclose on the equity interest</t>
  </si>
  <si>
    <t xml:space="preserve">No</t>
  </si>
  <si>
    <t xml:space="preserve">Mezzanine takes a pledge of the ownership interest. Pref takes governance rights and a preference.</t>
  </si>
  <si>
    <t xml:space="preserve">Counts as debt for the senior lender</t>
  </si>
  <si>
    <t xml:space="preserve">Usually not</t>
  </si>
  <si>
    <t xml:space="preserve">This is why the pref exists at all.</t>
  </si>
  <si>
    <t xml:space="preserve">Requires an intercreditor agreement</t>
  </si>
  <si>
    <t xml:space="preserve">And the senior lender has to agree to sign one.</t>
  </si>
  <si>
    <t xml:space="preserve">The trade that actually matters</t>
  </si>
  <si>
    <t xml:space="preserve">Cost difference over the term, compounded</t>
  </si>
  <si>
    <t xml:space="preserve">Mezzanine costs this much more on this deal.</t>
  </si>
  <si>
    <t xml:space="preserve">Senior proceeds forgone if the mezzanine blocks the loan</t>
  </si>
  <si>
    <t xml:space="preserve">If the senior sizes to 60% rather than 65% because of the mezzanine behind it.</t>
  </si>
  <si>
    <t xml:space="preserve">Extra junior capital that would be needed</t>
  </si>
  <si>
    <t xml:space="preserve">Filled at the junior rate, not the senior rate.</t>
  </si>
  <si>
    <t xml:space="preserve">Cost of that extra junior capital over the term</t>
  </si>
  <si>
    <t xml:space="preserve">Net cost of the mezzanine route</t>
  </si>
  <si>
    <t xml:space="preserve">Net cost of the preferred route including the senior gap</t>
  </si>
  <si>
    <t xml:space="preserve">Assumes the preferred route does not disturb the senior sizing, and the gap is filled at the pref rate.</t>
  </si>
  <si>
    <t xml:space="preserve">Cheaper route</t>
  </si>
  <si>
    <t xml:space="preserve">On cost alone. The foreclosure and intercreditor rows above are not priced here, and in a workout they dominate.</t>
  </si>
  <si>
    <t xml:space="preserve">Every figure Chapter 21 prints, against what this workbook computes.</t>
  </si>
  <si>
    <t xml:space="preserve">Test</t>
  </si>
  <si>
    <t xml:space="preserve">Book</t>
  </si>
  <si>
    <t xml:space="preserve">This workbook</t>
  </si>
  <si>
    <t xml:space="preserve">Status</t>
  </si>
  <si>
    <t xml:space="preserve">Source</t>
  </si>
  <si>
    <t xml:space="preserve">Value-add — total uses</t>
  </si>
  <si>
    <t xml:space="preserve">21 — "$50M + $5M + $1M = $56M"</t>
  </si>
  <si>
    <t xml:space="preserve">Value-add — senior loan</t>
  </si>
  <si>
    <t xml:space="preserve">21 — "65% of total cost = $36.4M"</t>
  </si>
  <si>
    <t xml:space="preserve">Value-add — equity</t>
  </si>
  <si>
    <t xml:space="preserve">21 — "Equity: $19.6M"</t>
  </si>
  <si>
    <t xml:space="preserve">Value-add — GP co-investment</t>
  </si>
  <si>
    <t xml:space="preserve">21 — "$3M is GP co-investment"</t>
  </si>
  <si>
    <t xml:space="preserve">Value-add — LP capital</t>
  </si>
  <si>
    <t xml:space="preserve">21 — "$16.6M is LP capital from the fund"</t>
  </si>
  <si>
    <t xml:space="preserve">Development — total uses</t>
  </si>
  <si>
    <t xml:space="preserve">21 — "$100M (land + hard costs + soft costs + carry)"</t>
  </si>
  <si>
    <t xml:space="preserve">Development — construction loan</t>
  </si>
  <si>
    <t xml:space="preserve">21 — "65% of cost = $65M"</t>
  </si>
  <si>
    <t xml:space="preserve">Development — mezzanine</t>
  </si>
  <si>
    <t xml:space="preserve">21 — "Mezzanine: 10% = $10M"</t>
  </si>
  <si>
    <t xml:space="preserve">Development — mezzanine rate</t>
  </si>
  <si>
    <t xml:space="preserve">21 — "11% rate"</t>
  </si>
  <si>
    <t xml:space="preserve">Development — preferred equity</t>
  </si>
  <si>
    <t xml:space="preserve">21 — "Preferred equity: 5% = $5M"</t>
  </si>
  <si>
    <t xml:space="preserve">Development — preferred rate</t>
  </si>
  <si>
    <t xml:space="preserve">21 — "9% pref"</t>
  </si>
  <si>
    <t xml:space="preserve">Development — common equity</t>
  </si>
  <si>
    <t xml:space="preserve">21 — "Common equity: 20% = $20M"</t>
  </si>
  <si>
    <t xml:space="preserve">Development — total leverage</t>
  </si>
  <si>
    <t xml:space="preserve">21 — "Total leverage is 75% of the capital stack"</t>
  </si>
  <si>
    <t xml:space="preserve">Leverage — 10% gain at 70% LTV</t>
  </si>
  <si>
    <t xml:space="preserve">21 — "roughly a 33% gain in equity value"</t>
  </si>
  <si>
    <t xml:space="preserve">Internal consistency</t>
  </si>
  <si>
    <t xml:space="preserve">Expected</t>
  </si>
  <si>
    <t xml:space="preserve">Computed</t>
  </si>
  <si>
    <t xml:space="preserve">Value-add sources equal uses</t>
  </si>
  <si>
    <t xml:space="preserve">Value-add equity splits correctly</t>
  </si>
  <si>
    <t xml:space="preserve">Development layers sum to total uses</t>
  </si>
  <si>
    <t xml:space="preserve">Development shares sum to 100%</t>
  </si>
  <si>
    <t xml:space="preserve">Leverage — a 10% fall mirrors the gain</t>
  </si>
  <si>
    <t xml:space="preserve">Symmetry is exact for a fixed loan balance.</t>
  </si>
  <si>
    <t xml:space="preserve">Waterfall at 0% leverage is unamplified</t>
  </si>
  <si>
    <t xml:space="preserve">1/(1-0) = 1.00x.</t>
  </si>
  <si>
    <t xml:space="preserve">All checks</t>
  </si>
</sst>
</file>

<file path=xl/styles.xml><?xml version="1.0" encoding="utf-8"?>
<styleSheet xmlns="http://schemas.openxmlformats.org/spreadsheetml/2006/main">
  <numFmts count="7">
    <numFmt numFmtId="164" formatCode="General"/>
    <numFmt numFmtId="165" formatCode="\$#,##0;&quot;($&quot;#,##0\);\-"/>
    <numFmt numFmtId="166" formatCode="0.0%;\(0.0%\);\-"/>
    <numFmt numFmtId="167" formatCode="0.00%;\(0.00%\);\-"/>
    <numFmt numFmtId="168" formatCode="0"/>
    <numFmt numFmtId="169" formatCode="0.00\x"/>
    <numFmt numFmtId="170" formatCode="0.00"/>
  </numFmts>
  <fonts count="11">
    <font>
      <sz val="11"/>
      <color theme="1"/>
      <name val="Calibri"/>
      <family val="2"/>
      <charset val="1"/>
    </font>
    <font>
      <sz val="10"/>
      <name val="Arial"/>
      <family val="0"/>
    </font>
    <font>
      <sz val="10"/>
      <name val="Arial"/>
      <family val="0"/>
    </font>
    <font>
      <sz val="10"/>
      <name val="Arial"/>
      <family val="0"/>
    </font>
    <font>
      <b val="true"/>
      <sz val="14"/>
      <color rgb="FF1F3864"/>
      <name val="Arial"/>
      <family val="0"/>
      <charset val="1"/>
    </font>
    <font>
      <sz val="10"/>
      <name val="Arial"/>
      <family val="0"/>
      <charset val="1"/>
    </font>
    <font>
      <b val="true"/>
      <sz val="11"/>
      <color rgb="FF1F3864"/>
      <name val="Arial"/>
      <family val="0"/>
      <charset val="1"/>
    </font>
    <font>
      <b val="true"/>
      <sz val="10"/>
      <name val="Arial"/>
      <family val="0"/>
      <charset val="1"/>
    </font>
    <font>
      <i val="true"/>
      <sz val="9"/>
      <color rgb="FF595959"/>
      <name val="Arial"/>
      <family val="0"/>
      <charset val="1"/>
    </font>
    <font>
      <b val="true"/>
      <sz val="10"/>
      <color rgb="FFFFFFFF"/>
      <name val="Arial"/>
      <family val="0"/>
      <charset val="1"/>
    </font>
    <font>
      <sz val="10"/>
      <color rgb="FF0000FF"/>
      <name val="Arial"/>
      <family val="0"/>
      <charset val="1"/>
    </font>
  </fonts>
  <fills count="5">
    <fill>
      <patternFill patternType="none"/>
    </fill>
    <fill>
      <patternFill patternType="gray125"/>
    </fill>
    <fill>
      <patternFill patternType="solid">
        <fgColor rgb="FF1F3864"/>
        <bgColor rgb="FF333333"/>
      </patternFill>
    </fill>
    <fill>
      <patternFill patternType="solid">
        <fgColor rgb="FFFFFF00"/>
        <bgColor rgb="FFFFFF00"/>
      </patternFill>
    </fill>
    <fill>
      <patternFill patternType="solid">
        <fgColor rgb="FFEDF2F9"/>
        <bgColor rgb="FFFFFFFF"/>
      </patternFill>
    </fill>
  </fills>
  <borders count="2">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true" applyAlignment="true" applyProtection="false">
      <alignment horizontal="general" vertical="top" textRotation="0" wrapText="true" indent="0" shrinkToFit="false"/>
      <protection locked="true" hidden="false"/>
    </xf>
    <xf numFmtId="164" fontId="9" fillId="2" borderId="0" xfId="0" applyFont="true" applyBorder="false" applyAlignment="true" applyProtection="false">
      <alignment horizontal="center" vertical="center" textRotation="0" wrapText="tru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5" fontId="10" fillId="3" borderId="1" xfId="0" applyFont="true" applyBorder="true" applyAlignment="false" applyProtection="false">
      <alignment horizontal="general" vertical="bottom" textRotation="0" wrapText="false" indent="0" shrinkToFit="false"/>
      <protection locked="true" hidden="false"/>
    </xf>
    <xf numFmtId="166" fontId="5" fillId="0" borderId="0" xfId="0" applyFont="true" applyBorder="false" applyAlignment="false" applyProtection="false">
      <alignment horizontal="general" vertical="bottom" textRotation="0" wrapText="false" indent="0" shrinkToFit="false"/>
      <protection locked="true" hidden="false"/>
    </xf>
    <xf numFmtId="164" fontId="7" fillId="4" borderId="0" xfId="0" applyFont="true" applyBorder="false" applyAlignment="false" applyProtection="false">
      <alignment horizontal="general" vertical="bottom" textRotation="0" wrapText="false" indent="0" shrinkToFit="false"/>
      <protection locked="true" hidden="false"/>
    </xf>
    <xf numFmtId="165" fontId="7" fillId="4" borderId="0" xfId="0" applyFont="true" applyBorder="false" applyAlignment="false" applyProtection="false">
      <alignment horizontal="general" vertical="bottom" textRotation="0" wrapText="fals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8" fillId="4" borderId="0" xfId="0" applyFont="true" applyBorder="false" applyAlignment="true" applyProtection="false">
      <alignment horizontal="general" vertical="top" textRotation="0" wrapText="true" indent="0" shrinkToFit="false"/>
      <protection locked="true" hidden="false"/>
    </xf>
    <xf numFmtId="165" fontId="5" fillId="0" borderId="0" xfId="0" applyFont="true" applyBorder="false" applyAlignment="false" applyProtection="false">
      <alignment horizontal="general" vertical="bottom" textRotation="0" wrapText="false" indent="0" shrinkToFit="false"/>
      <protection locked="true" hidden="false"/>
    </xf>
    <xf numFmtId="166" fontId="7" fillId="4" borderId="0" xfId="0" applyFont="true" applyBorder="false" applyAlignment="false" applyProtection="false">
      <alignment horizontal="general" vertical="bottom" textRotation="0" wrapText="false" indent="0" shrinkToFit="false"/>
      <protection locked="true" hidden="false"/>
    </xf>
    <xf numFmtId="166" fontId="10" fillId="3" borderId="1" xfId="0" applyFont="true" applyBorder="true" applyAlignment="false" applyProtection="false">
      <alignment horizontal="general" vertical="bottom" textRotation="0" wrapText="false" indent="0" shrinkToFit="false"/>
      <protection locked="true" hidden="false"/>
    </xf>
    <xf numFmtId="167" fontId="10" fillId="3" borderId="1" xfId="0" applyFont="true" applyBorder="true" applyAlignment="false" applyProtection="false">
      <alignment horizontal="general" vertical="bottom" textRotation="0" wrapText="false" indent="0" shrinkToFit="false"/>
      <protection locked="true" hidden="false"/>
    </xf>
    <xf numFmtId="168" fontId="10" fillId="3" borderId="1" xfId="0" applyFont="true" applyBorder="true" applyAlignment="false" applyProtection="false">
      <alignment horizontal="general" vertical="bottom" textRotation="0" wrapText="false" indent="0" shrinkToFit="false"/>
      <protection locked="true" hidden="false"/>
    </xf>
    <xf numFmtId="169" fontId="5" fillId="0" borderId="0" xfId="0" applyFont="true" applyBorder="false" applyAlignment="false" applyProtection="false">
      <alignment horizontal="general" vertical="bottom" textRotation="0" wrapText="false" indent="0" shrinkToFit="false"/>
      <protection locked="true" hidden="false"/>
    </xf>
    <xf numFmtId="167" fontId="5"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center" vertical="bottom" textRotation="0" wrapText="false" indent="0" shrinkToFit="false"/>
      <protection locked="true" hidden="false"/>
    </xf>
    <xf numFmtId="164" fontId="8" fillId="0" borderId="0" xfId="0" applyFont="true" applyBorder="true" applyAlignment="true" applyProtection="false">
      <alignment horizontal="general" vertical="top" textRotation="0" wrapText="true" indent="0" shrinkToFit="false"/>
      <protection locked="true" hidden="false"/>
    </xf>
    <xf numFmtId="170" fontId="10" fillId="3" borderId="1" xfId="0" applyFont="true" applyBorder="true" applyAlignment="false" applyProtection="false">
      <alignment horizontal="general" vertical="bottom" textRotation="0" wrapText="false" indent="0" shrinkToFit="false"/>
      <protection locked="true" hidden="false"/>
    </xf>
    <xf numFmtId="170" fontId="5"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center" vertical="bottom" textRotation="0" wrapText="false" indent="0" shrinkToFit="false"/>
      <protection locked="true" hidden="false"/>
    </xf>
    <xf numFmtId="164" fontId="7" fillId="3"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EDF2F9"/>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1F3864"/>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2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04"/>
  </cols>
  <sheetData>
    <row r="2" customFormat="false" ht="17.35" hidden="false" customHeight="false" outlineLevel="0" collapsed="false">
      <c r="B2" s="1" t="s">
        <v>0</v>
      </c>
    </row>
    <row r="4" customFormat="false" ht="15" hidden="false" customHeight="false" outlineLevel="0" collapsed="false">
      <c r="B4" s="2" t="s">
        <v>1</v>
      </c>
    </row>
    <row r="6" customFormat="false" ht="15" hidden="false" customHeight="false" outlineLevel="0" collapsed="false">
      <c r="B6" s="3" t="s">
        <v>2</v>
      </c>
    </row>
    <row r="7" customFormat="false" ht="15" hidden="false" customHeight="false" outlineLevel="0" collapsed="false">
      <c r="B7" s="4" t="s">
        <v>3</v>
      </c>
    </row>
    <row r="8" customFormat="false" ht="23.85" hidden="false" customHeight="false" outlineLevel="0" collapsed="false">
      <c r="B8" s="2" t="s">
        <v>4</v>
      </c>
    </row>
    <row r="9" customFormat="false" ht="15" hidden="false" customHeight="false" outlineLevel="0" collapsed="false">
      <c r="B9" s="4" t="s">
        <v>5</v>
      </c>
    </row>
    <row r="10" customFormat="false" ht="23.85" hidden="false" customHeight="false" outlineLevel="0" collapsed="false">
      <c r="B10" s="2" t="s">
        <v>6</v>
      </c>
    </row>
    <row r="11" customFormat="false" ht="15" hidden="false" customHeight="false" outlineLevel="0" collapsed="false">
      <c r="B11" s="4" t="s">
        <v>7</v>
      </c>
    </row>
    <row r="12" customFormat="false" ht="23.85" hidden="false" customHeight="false" outlineLevel="0" collapsed="false">
      <c r="B12" s="2" t="s">
        <v>8</v>
      </c>
    </row>
    <row r="13" customFormat="false" ht="15" hidden="false" customHeight="false" outlineLevel="0" collapsed="false">
      <c r="B13" s="4" t="s">
        <v>9</v>
      </c>
    </row>
    <row r="14" customFormat="false" ht="15" hidden="false" customHeight="false" outlineLevel="0" collapsed="false">
      <c r="B14" s="2" t="s">
        <v>10</v>
      </c>
    </row>
    <row r="15" customFormat="false" ht="15" hidden="false" customHeight="false" outlineLevel="0" collapsed="false">
      <c r="B15" s="4" t="s">
        <v>11</v>
      </c>
    </row>
    <row r="16" customFormat="false" ht="15" hidden="false" customHeight="false" outlineLevel="0" collapsed="false">
      <c r="B16" s="2" t="s">
        <v>12</v>
      </c>
    </row>
    <row r="18" customFormat="false" ht="22.35" hidden="false" customHeight="false" outlineLevel="0" collapsed="false">
      <c r="B18" s="5" t="s">
        <v>13</v>
      </c>
    </row>
    <row r="20" customFormat="false" ht="15" hidden="false" customHeight="false" outlineLevel="0" collapsed="false">
      <c r="B20" s="5" t="s">
        <v>14</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E4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0"/>
    <col collapsed="false" customWidth="true" hidden="false" outlineLevel="0" max="3" min="3" style="0" width="16"/>
    <col collapsed="false" customWidth="true" hidden="false" outlineLevel="0" max="4" min="4" style="0" width="14"/>
    <col collapsed="false" customWidth="true" hidden="false" outlineLevel="0" max="5" min="5" style="0" width="52"/>
  </cols>
  <sheetData>
    <row r="2" customFormat="false" ht="17.35" hidden="false" customHeight="false" outlineLevel="0" collapsed="false">
      <c r="B2" s="1" t="s">
        <v>15</v>
      </c>
    </row>
    <row r="4" customFormat="false" ht="43.5" hidden="false" customHeight="true" outlineLevel="0" collapsed="false">
      <c r="B4" s="6" t="s">
        <v>16</v>
      </c>
      <c r="C4" s="6"/>
      <c r="D4" s="6"/>
      <c r="E4" s="6"/>
    </row>
    <row r="6" customFormat="false" ht="15" hidden="false" customHeight="false" outlineLevel="0" collapsed="false">
      <c r="B6" s="3" t="s">
        <v>17</v>
      </c>
    </row>
    <row r="7" customFormat="false" ht="27.75" hidden="false" customHeight="true" outlineLevel="0" collapsed="false">
      <c r="B7" s="7"/>
      <c r="C7" s="7" t="s">
        <v>18</v>
      </c>
      <c r="D7" s="7" t="s">
        <v>19</v>
      </c>
      <c r="E7" s="7" t="s">
        <v>20</v>
      </c>
    </row>
    <row r="8" customFormat="false" ht="15" hidden="false" customHeight="false" outlineLevel="0" collapsed="false">
      <c r="B8" s="8" t="s">
        <v>21</v>
      </c>
      <c r="C8" s="9" t="n">
        <v>50000000</v>
      </c>
      <c r="D8" s="10" t="n">
        <f aca="false">IFERROR(C8/$C$11,0)</f>
        <v>0.892857142857143</v>
      </c>
      <c r="E8" s="5"/>
    </row>
    <row r="9" customFormat="false" ht="15" hidden="false" customHeight="false" outlineLevel="0" collapsed="false">
      <c r="B9" s="8" t="s">
        <v>22</v>
      </c>
      <c r="C9" s="9" t="n">
        <v>5000000</v>
      </c>
      <c r="D9" s="10" t="n">
        <f aca="false">IFERROR(C9/$C$11,0)</f>
        <v>0.0892857142857143</v>
      </c>
      <c r="E9" s="5"/>
    </row>
    <row r="10" customFormat="false" ht="15" hidden="false" customHeight="false" outlineLevel="0" collapsed="false">
      <c r="B10" s="8" t="s">
        <v>23</v>
      </c>
      <c r="C10" s="9" t="n">
        <v>1000000</v>
      </c>
      <c r="D10" s="10" t="n">
        <f aca="false">IFERROR(C10/$C$11,0)</f>
        <v>0.0178571428571429</v>
      </c>
      <c r="E10" s="5"/>
    </row>
    <row r="11" customFormat="false" ht="15" hidden="false" customHeight="false" outlineLevel="0" collapsed="false">
      <c r="B11" s="11" t="s">
        <v>24</v>
      </c>
      <c r="C11" s="12" t="n">
        <f aca="false">SUM(C8:C10)</f>
        <v>56000000</v>
      </c>
      <c r="D11" s="13"/>
      <c r="E11" s="14" t="s">
        <v>25</v>
      </c>
    </row>
    <row r="13" customFormat="false" ht="15" hidden="false" customHeight="false" outlineLevel="0" collapsed="false">
      <c r="B13" s="3" t="s">
        <v>26</v>
      </c>
    </row>
    <row r="14" customFormat="false" ht="27.75" hidden="false" customHeight="true" outlineLevel="0" collapsed="false">
      <c r="B14" s="7"/>
      <c r="C14" s="7" t="s">
        <v>18</v>
      </c>
      <c r="D14" s="7" t="s">
        <v>27</v>
      </c>
      <c r="E14" s="7" t="s">
        <v>20</v>
      </c>
    </row>
    <row r="15" customFormat="false" ht="22.35" hidden="false" customHeight="false" outlineLevel="0" collapsed="false">
      <c r="B15" s="8" t="s">
        <v>28</v>
      </c>
      <c r="C15" s="15" t="n">
        <f aca="false">$C$11*$C$23</f>
        <v>36400000</v>
      </c>
      <c r="D15" s="10" t="n">
        <f aca="false">IFERROR(C15/$C$11,0)</f>
        <v>0.65</v>
      </c>
      <c r="E15" s="5" t="s">
        <v>29</v>
      </c>
    </row>
    <row r="16" customFormat="false" ht="15" hidden="false" customHeight="false" outlineLevel="0" collapsed="false">
      <c r="B16" s="8" t="s">
        <v>30</v>
      </c>
      <c r="C16" s="15" t="n">
        <f aca="false">$C$11-$C$15</f>
        <v>19600000</v>
      </c>
      <c r="D16" s="10" t="n">
        <f aca="false">IFERROR(C16/$C$11,0)</f>
        <v>0.35</v>
      </c>
      <c r="E16" s="5" t="s">
        <v>31</v>
      </c>
    </row>
    <row r="17" customFormat="false" ht="22.35" hidden="false" customHeight="false" outlineLevel="0" collapsed="false">
      <c r="B17" s="8" t="s">
        <v>32</v>
      </c>
      <c r="C17" s="9" t="n">
        <v>3000000</v>
      </c>
      <c r="D17" s="10" t="n">
        <f aca="false">IFERROR(C17/$C$16,0)</f>
        <v>0.153061224489796</v>
      </c>
      <c r="E17" s="5" t="s">
        <v>33</v>
      </c>
    </row>
    <row r="18" customFormat="false" ht="15" hidden="false" customHeight="false" outlineLevel="0" collapsed="false">
      <c r="B18" s="8" t="s">
        <v>34</v>
      </c>
      <c r="C18" s="15" t="n">
        <f aca="false">$C$16-$C$17</f>
        <v>16600000</v>
      </c>
      <c r="D18" s="10" t="n">
        <f aca="false">IFERROR(C18/$C$16,0)</f>
        <v>0.846938775510204</v>
      </c>
      <c r="E18" s="5" t="s">
        <v>35</v>
      </c>
    </row>
    <row r="19" customFormat="false" ht="15" hidden="false" customHeight="false" outlineLevel="0" collapsed="false">
      <c r="B19" s="11" t="s">
        <v>36</v>
      </c>
      <c r="C19" s="12" t="n">
        <f aca="false">$C$15+$C$16</f>
        <v>56000000</v>
      </c>
      <c r="D19" s="16" t="n">
        <f aca="false">IFERROR(C19/$C$11,0)</f>
        <v>1</v>
      </c>
      <c r="E19" s="14" t="s">
        <v>37</v>
      </c>
    </row>
    <row r="21" customFormat="false" ht="15" hidden="false" customHeight="false" outlineLevel="0" collapsed="false">
      <c r="B21" s="3" t="s">
        <v>38</v>
      </c>
    </row>
    <row r="22" customFormat="false" ht="27.75" hidden="false" customHeight="true" outlineLevel="0" collapsed="false">
      <c r="B22" s="7"/>
      <c r="C22" s="7" t="s">
        <v>39</v>
      </c>
      <c r="E22" s="7" t="s">
        <v>20</v>
      </c>
    </row>
    <row r="23" customFormat="false" ht="15" hidden="false" customHeight="false" outlineLevel="0" collapsed="false">
      <c r="B23" s="8" t="s">
        <v>40</v>
      </c>
      <c r="C23" s="17" t="n">
        <v>0.65</v>
      </c>
      <c r="E23" s="5" t="s">
        <v>41</v>
      </c>
    </row>
    <row r="24" customFormat="false" ht="15" hidden="false" customHeight="false" outlineLevel="0" collapsed="false">
      <c r="B24" s="8" t="s">
        <v>42</v>
      </c>
      <c r="C24" s="18" t="n">
        <v>0.0725</v>
      </c>
      <c r="E24" s="5" t="s">
        <v>43</v>
      </c>
    </row>
    <row r="25" customFormat="false" ht="15" hidden="false" customHeight="false" outlineLevel="0" collapsed="false">
      <c r="B25" s="8" t="s">
        <v>44</v>
      </c>
      <c r="C25" s="19" t="n">
        <v>30</v>
      </c>
      <c r="E25" s="5" t="s">
        <v>45</v>
      </c>
    </row>
    <row r="26" customFormat="false" ht="15" hidden="false" customHeight="false" outlineLevel="0" collapsed="false">
      <c r="B26" s="8" t="s">
        <v>46</v>
      </c>
      <c r="C26" s="19" t="n">
        <v>3</v>
      </c>
      <c r="E26" s="5" t="s">
        <v>47</v>
      </c>
    </row>
    <row r="27" customFormat="false" ht="15" hidden="false" customHeight="false" outlineLevel="0" collapsed="false">
      <c r="B27" s="8" t="s">
        <v>48</v>
      </c>
      <c r="C27" s="9" t="n">
        <v>4480000</v>
      </c>
      <c r="E27" s="5" t="s">
        <v>49</v>
      </c>
    </row>
    <row r="28" customFormat="false" ht="15" hidden="false" customHeight="false" outlineLevel="0" collapsed="false">
      <c r="B28" s="8" t="s">
        <v>50</v>
      </c>
      <c r="C28" s="18" t="n">
        <v>0.0625</v>
      </c>
      <c r="E28" s="5" t="s">
        <v>51</v>
      </c>
    </row>
    <row r="29" customFormat="false" ht="15" hidden="false" customHeight="false" outlineLevel="0" collapsed="false">
      <c r="B29" s="8" t="s">
        <v>52</v>
      </c>
      <c r="C29" s="17" t="n">
        <v>0.02</v>
      </c>
      <c r="E29" s="5" t="s">
        <v>53</v>
      </c>
    </row>
    <row r="31" customFormat="false" ht="15" hidden="false" customHeight="false" outlineLevel="0" collapsed="false">
      <c r="B31" s="3" t="s">
        <v>54</v>
      </c>
    </row>
    <row r="32" customFormat="false" ht="27.75" hidden="false" customHeight="true" outlineLevel="0" collapsed="false">
      <c r="B32" s="7"/>
      <c r="C32" s="7" t="s">
        <v>39</v>
      </c>
      <c r="E32" s="7" t="s">
        <v>20</v>
      </c>
    </row>
    <row r="33" customFormat="false" ht="22.35" hidden="false" customHeight="false" outlineLevel="0" collapsed="false">
      <c r="B33" s="8" t="s">
        <v>55</v>
      </c>
      <c r="C33" s="15" t="n">
        <f aca="false">IFERROR($C$15*(-PMT($C$24,$C$25,1)),0)</f>
        <v>3007354.13200023</v>
      </c>
      <c r="E33" s="5" t="s">
        <v>56</v>
      </c>
    </row>
    <row r="34" customFormat="false" ht="15" hidden="false" customHeight="false" outlineLevel="0" collapsed="false">
      <c r="B34" s="8" t="s">
        <v>57</v>
      </c>
      <c r="C34" s="20" t="n">
        <f aca="false">IFERROR($C$27/IFERROR($C$15*(-PMT($C$24,$C$25,1)),1),0)</f>
        <v>1.48968156171894</v>
      </c>
      <c r="E34" s="5"/>
    </row>
    <row r="35" customFormat="false" ht="15" hidden="false" customHeight="false" outlineLevel="0" collapsed="false">
      <c r="B35" s="8" t="s">
        <v>58</v>
      </c>
      <c r="C35" s="21" t="n">
        <f aca="false">IFERROR($C$27/$C$15,0)</f>
        <v>0.123076923076923</v>
      </c>
      <c r="E35" s="5"/>
    </row>
    <row r="36" customFormat="false" ht="15" hidden="false" customHeight="false" outlineLevel="0" collapsed="false">
      <c r="B36" s="8" t="s">
        <v>59</v>
      </c>
      <c r="C36" s="21" t="n">
        <f aca="false">IFERROR($C$27/$C$11,0)</f>
        <v>0.08</v>
      </c>
      <c r="E36" s="5"/>
    </row>
    <row r="37" customFormat="false" ht="15" hidden="false" customHeight="false" outlineLevel="0" collapsed="false">
      <c r="B37" s="8" t="s">
        <v>60</v>
      </c>
      <c r="C37" s="15" t="n">
        <f aca="false">IFERROR($C$27/$C$28,0)</f>
        <v>71680000</v>
      </c>
      <c r="E37" s="5"/>
    </row>
    <row r="38" customFormat="false" ht="15" hidden="false" customHeight="false" outlineLevel="0" collapsed="false">
      <c r="B38" s="8" t="s">
        <v>61</v>
      </c>
      <c r="C38" s="15" t="n">
        <f aca="false">IFERROR($C$27/$C$28*(1-$C$29),0)</f>
        <v>70246400</v>
      </c>
      <c r="E38" s="5"/>
    </row>
    <row r="39" customFormat="false" ht="15" hidden="false" customHeight="false" outlineLevel="0" collapsed="false">
      <c r="B39" s="8" t="s">
        <v>62</v>
      </c>
      <c r="C39" s="15" t="n">
        <f aca="false">IFERROR($C$15*(1+$C$24)^$C$26-$C$15*(-PMT($C$24,$C$25,1))*(((1+$C$24)^$C$26-1)/$C$24),0)</f>
        <v>35212884.4188829</v>
      </c>
      <c r="E39" s="5" t="s">
        <v>63</v>
      </c>
    </row>
    <row r="40" customFormat="false" ht="15" hidden="false" customHeight="false" outlineLevel="0" collapsed="false">
      <c r="B40" s="8" t="s">
        <v>64</v>
      </c>
      <c r="C40" s="15" t="n">
        <f aca="false">IFERROR($C$27/$C$28*(1-$C$29)-($C$15*(1+$C$24)^$C$26-$C$15*(-PMT($C$24,$C$25,1))*(((1+$C$24)^$C$26-1)/$C$24)),0)</f>
        <v>35033515.5811171</v>
      </c>
      <c r="E40" s="5"/>
    </row>
    <row r="41" customFormat="false" ht="22.35" hidden="false" customHeight="false" outlineLevel="0" collapsed="false">
      <c r="B41" s="8" t="s">
        <v>65</v>
      </c>
      <c r="C41" s="20" t="n">
        <f aca="false">IFERROR(($C$27/$C$28*(1-$C$29)-($C$15*(1+$C$24)^$C$26-$C$15*(-PMT($C$24,$C$25,1))*(((1+$C$24)^$C$26-1)/$C$24)))/$C$16,0)</f>
        <v>1.78742426434271</v>
      </c>
      <c r="E41" s="5" t="s">
        <v>66</v>
      </c>
    </row>
    <row r="42" customFormat="false" ht="15" hidden="false" customHeight="false" outlineLevel="0" collapsed="false">
      <c r="B42" s="8" t="s">
        <v>67</v>
      </c>
      <c r="C42" s="10" t="n">
        <f aca="false">IFERROR($C$17/$C$16,0)</f>
        <v>0.153061224489796</v>
      </c>
      <c r="E42" s="5" t="s">
        <v>68</v>
      </c>
    </row>
  </sheetData>
  <mergeCells count="1">
    <mergeCell ref="B4:E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G3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4"/>
    <col collapsed="false" customWidth="true" hidden="false" outlineLevel="0" max="3" min="3" style="0" width="16"/>
    <col collapsed="false" customWidth="true" hidden="false" outlineLevel="0" max="5" min="4" style="0" width="13"/>
    <col collapsed="false" customWidth="true" hidden="false" outlineLevel="0" max="6" min="6" style="0" width="16"/>
    <col collapsed="false" customWidth="true" hidden="false" outlineLevel="0" max="7" min="7" style="0" width="52"/>
  </cols>
  <sheetData>
    <row r="2" customFormat="false" ht="32.8" hidden="false" customHeight="false" outlineLevel="0" collapsed="false">
      <c r="B2" s="1" t="s">
        <v>69</v>
      </c>
    </row>
    <row r="4" customFormat="false" ht="43.5" hidden="false" customHeight="true" outlineLevel="0" collapsed="false">
      <c r="B4" s="6" t="s">
        <v>70</v>
      </c>
      <c r="C4" s="6"/>
      <c r="D4" s="6"/>
      <c r="E4" s="6"/>
      <c r="F4" s="6"/>
      <c r="G4" s="6"/>
    </row>
    <row r="6" customFormat="false" ht="15" hidden="false" customHeight="false" outlineLevel="0" collapsed="false">
      <c r="B6" s="3" t="s">
        <v>24</v>
      </c>
    </row>
    <row r="7" customFormat="false" ht="27.75" hidden="false" customHeight="true" outlineLevel="0" collapsed="false">
      <c r="B7" s="7"/>
      <c r="C7" s="7" t="s">
        <v>18</v>
      </c>
      <c r="G7" s="7" t="s">
        <v>20</v>
      </c>
    </row>
    <row r="8" customFormat="false" ht="15" hidden="false" customHeight="false" outlineLevel="0" collapsed="false">
      <c r="B8" s="8" t="s">
        <v>71</v>
      </c>
      <c r="C8" s="9" t="n">
        <v>100000000</v>
      </c>
      <c r="G8" s="5" t="s">
        <v>72</v>
      </c>
    </row>
    <row r="10" customFormat="false" ht="15" hidden="false" customHeight="false" outlineLevel="0" collapsed="false">
      <c r="B10" s="3" t="s">
        <v>73</v>
      </c>
    </row>
    <row r="11" customFormat="false" ht="27.75" hidden="false" customHeight="true" outlineLevel="0" collapsed="false">
      <c r="B11" s="7" t="s">
        <v>74</v>
      </c>
      <c r="C11" s="7" t="s">
        <v>18</v>
      </c>
      <c r="D11" s="7" t="s">
        <v>75</v>
      </c>
      <c r="E11" s="7" t="s">
        <v>76</v>
      </c>
      <c r="F11" s="7" t="s">
        <v>77</v>
      </c>
      <c r="G11" s="7" t="s">
        <v>78</v>
      </c>
    </row>
    <row r="12" customFormat="false" ht="15" hidden="false" customHeight="false" outlineLevel="0" collapsed="false">
      <c r="B12" s="8" t="s">
        <v>79</v>
      </c>
      <c r="C12" s="15" t="n">
        <f aca="false">$C$8*D12</f>
        <v>65000000</v>
      </c>
      <c r="D12" s="17" t="n">
        <v>0.65</v>
      </c>
      <c r="E12" s="18" t="n">
        <v>0.08</v>
      </c>
      <c r="F12" s="15" t="n">
        <f aca="false">C12*E12</f>
        <v>5200000</v>
      </c>
      <c r="G12" s="5" t="s">
        <v>80</v>
      </c>
    </row>
    <row r="13" customFormat="false" ht="22.35" hidden="false" customHeight="false" outlineLevel="0" collapsed="false">
      <c r="B13" s="8" t="s">
        <v>81</v>
      </c>
      <c r="C13" s="15" t="n">
        <f aca="false">$C$8*D13</f>
        <v>10000000</v>
      </c>
      <c r="D13" s="17" t="n">
        <v>0.1</v>
      </c>
      <c r="E13" s="18" t="n">
        <v>0.11</v>
      </c>
      <c r="F13" s="15" t="n">
        <f aca="false">C13*E13</f>
        <v>1100000</v>
      </c>
      <c r="G13" s="5" t="s">
        <v>82</v>
      </c>
    </row>
    <row r="14" customFormat="false" ht="15" hidden="false" customHeight="false" outlineLevel="0" collapsed="false">
      <c r="B14" s="8" t="s">
        <v>83</v>
      </c>
      <c r="C14" s="15" t="n">
        <f aca="false">$C$8*D14</f>
        <v>5000000</v>
      </c>
      <c r="D14" s="17" t="n">
        <v>0.05</v>
      </c>
      <c r="E14" s="18" t="n">
        <v>0.09</v>
      </c>
      <c r="F14" s="15" t="n">
        <f aca="false">C14*E14</f>
        <v>450000</v>
      </c>
      <c r="G14" s="5" t="s">
        <v>84</v>
      </c>
    </row>
    <row r="15" customFormat="false" ht="15" hidden="false" customHeight="false" outlineLevel="0" collapsed="false">
      <c r="B15" s="8" t="s">
        <v>85</v>
      </c>
      <c r="C15" s="15" t="n">
        <f aca="false">$C$8*D15</f>
        <v>20000000</v>
      </c>
      <c r="D15" s="17" t="n">
        <v>0.2</v>
      </c>
      <c r="E15" s="22" t="s">
        <v>86</v>
      </c>
      <c r="F15" s="15" t="n">
        <f aca="false">0</f>
        <v>0</v>
      </c>
      <c r="G15" s="5" t="s">
        <v>87</v>
      </c>
    </row>
    <row r="16" customFormat="false" ht="15" hidden="false" customHeight="false" outlineLevel="0" collapsed="false">
      <c r="B16" s="11" t="s">
        <v>88</v>
      </c>
      <c r="C16" s="12" t="n">
        <f aca="false">SUM(C12:C15)</f>
        <v>100000000</v>
      </c>
      <c r="D16" s="16" t="n">
        <f aca="false">SUM(D12:D15)</f>
        <v>1</v>
      </c>
      <c r="E16" s="13"/>
      <c r="F16" s="12" t="n">
        <f aca="false">SUM(F12:F15)</f>
        <v>6750000</v>
      </c>
      <c r="G16" s="14" t="s">
        <v>89</v>
      </c>
    </row>
    <row r="18" customFormat="false" ht="15" hidden="false" customHeight="false" outlineLevel="0" collapsed="false">
      <c r="B18" s="3" t="s">
        <v>90</v>
      </c>
    </row>
    <row r="19" customFormat="false" ht="27.75" hidden="false" customHeight="true" outlineLevel="0" collapsed="false">
      <c r="B19" s="7"/>
      <c r="C19" s="7" t="s">
        <v>39</v>
      </c>
      <c r="G19" s="7" t="s">
        <v>20</v>
      </c>
    </row>
    <row r="20" customFormat="false" ht="15" hidden="false" customHeight="false" outlineLevel="0" collapsed="false">
      <c r="B20" s="8" t="s">
        <v>91</v>
      </c>
      <c r="C20" s="10" t="n">
        <f aca="false">IFERROR((C12+C13)/$C$8,0)</f>
        <v>0.75</v>
      </c>
      <c r="G20" s="5" t="s">
        <v>92</v>
      </c>
    </row>
    <row r="21" customFormat="false" ht="15" hidden="false" customHeight="false" outlineLevel="0" collapsed="false">
      <c r="B21" s="8" t="s">
        <v>93</v>
      </c>
      <c r="C21" s="10" t="n">
        <f aca="false">IFERROR((C12+C13+C14)/$C$8,0)</f>
        <v>0.8</v>
      </c>
      <c r="G21" s="5" t="s">
        <v>94</v>
      </c>
    </row>
    <row r="22" customFormat="false" ht="15" hidden="false" customHeight="false" outlineLevel="0" collapsed="false">
      <c r="B22" s="8" t="s">
        <v>95</v>
      </c>
      <c r="C22" s="15" t="n">
        <f aca="false">F16</f>
        <v>6750000</v>
      </c>
      <c r="G22" s="5" t="s">
        <v>96</v>
      </c>
    </row>
    <row r="23" customFormat="false" ht="15" hidden="false" customHeight="false" outlineLevel="0" collapsed="false">
      <c r="B23" s="8" t="s">
        <v>97</v>
      </c>
      <c r="C23" s="21" t="n">
        <f aca="false">IFERROR(F16/(C12+C13+C14),0)</f>
        <v>0.084375</v>
      </c>
      <c r="G23" s="5" t="s">
        <v>98</v>
      </c>
    </row>
    <row r="24" customFormat="false" ht="15" hidden="false" customHeight="false" outlineLevel="0" collapsed="false">
      <c r="B24" s="8" t="s">
        <v>99</v>
      </c>
      <c r="C24" s="21" t="n">
        <f aca="false">IFERROR((F16+C15*0.15)/$C$8,0)</f>
        <v>0.0975</v>
      </c>
      <c r="G24" s="5" t="s">
        <v>100</v>
      </c>
    </row>
    <row r="25" customFormat="false" ht="22.35" hidden="false" customHeight="false" outlineLevel="0" collapsed="false">
      <c r="B25" s="8" t="s">
        <v>101</v>
      </c>
      <c r="C25" s="21" t="n">
        <f aca="false">IFERROR(F16/$C$8,0)</f>
        <v>0.0675</v>
      </c>
      <c r="G25" s="5" t="s">
        <v>102</v>
      </c>
    </row>
    <row r="26" customFormat="false" ht="15" hidden="false" customHeight="false" outlineLevel="0" collapsed="false">
      <c r="B26" s="8" t="s">
        <v>103</v>
      </c>
      <c r="C26" s="10" t="n">
        <f aca="false">IFERROR(C15/(C14+C15),0)</f>
        <v>0.8</v>
      </c>
      <c r="G26" s="5"/>
    </row>
    <row r="28" customFormat="false" ht="26.85" hidden="false" customHeight="false" outlineLevel="0" collapsed="false">
      <c r="B28" s="3" t="s">
        <v>104</v>
      </c>
    </row>
    <row r="29" customFormat="false" ht="15" hidden="false" customHeight="true" outlineLevel="0" collapsed="false">
      <c r="B29" s="23" t="s">
        <v>105</v>
      </c>
      <c r="C29" s="23"/>
      <c r="D29" s="23"/>
      <c r="E29" s="23"/>
      <c r="F29" s="23"/>
      <c r="G29" s="23"/>
    </row>
    <row r="31" customFormat="false" ht="27.75" hidden="false" customHeight="true" outlineLevel="0" collapsed="false">
      <c r="B31" s="7" t="s">
        <v>60</v>
      </c>
      <c r="C31" s="7" t="s">
        <v>79</v>
      </c>
      <c r="D31" s="7" t="s">
        <v>81</v>
      </c>
      <c r="E31" s="7" t="s">
        <v>83</v>
      </c>
      <c r="F31" s="7" t="s">
        <v>85</v>
      </c>
      <c r="G31" s="7" t="s">
        <v>106</v>
      </c>
    </row>
    <row r="32" customFormat="false" ht="15" hidden="false" customHeight="false" outlineLevel="0" collapsed="false">
      <c r="B32" s="9" t="n">
        <v>80000000</v>
      </c>
      <c r="C32" s="15" t="n">
        <f aca="false">MIN($C$12,$B32)</f>
        <v>65000000</v>
      </c>
      <c r="D32" s="15" t="n">
        <f aca="false">MIN($C$13,MAX(0,$B32-C32))</f>
        <v>10000000</v>
      </c>
      <c r="E32" s="15" t="n">
        <f aca="false">MIN($C$14,MAX(0,$B32-C32-D32))</f>
        <v>5000000</v>
      </c>
      <c r="F32" s="15" t="n">
        <f aca="false">MAX(0,$B32-C32-D32-E32)</f>
        <v>0</v>
      </c>
      <c r="G32" s="20" t="n">
        <f aca="false">IFERROR(F32/$C$15,0)</f>
        <v>0</v>
      </c>
    </row>
    <row r="33" customFormat="false" ht="15" hidden="false" customHeight="false" outlineLevel="0" collapsed="false">
      <c r="B33" s="9" t="n">
        <v>95000000</v>
      </c>
      <c r="C33" s="15" t="n">
        <f aca="false">MIN($C$12,$B33)</f>
        <v>65000000</v>
      </c>
      <c r="D33" s="15" t="n">
        <f aca="false">MIN($C$13,MAX(0,$B33-C33))</f>
        <v>10000000</v>
      </c>
      <c r="E33" s="15" t="n">
        <f aca="false">MIN($C$14,MAX(0,$B33-C33-D33))</f>
        <v>5000000</v>
      </c>
      <c r="F33" s="15" t="n">
        <f aca="false">MAX(0,$B33-C33-D33-E33)</f>
        <v>15000000</v>
      </c>
      <c r="G33" s="20" t="n">
        <f aca="false">IFERROR(F33/$C$15,0)</f>
        <v>0.75</v>
      </c>
    </row>
    <row r="34" customFormat="false" ht="15" hidden="false" customHeight="false" outlineLevel="0" collapsed="false">
      <c r="B34" s="9" t="n">
        <v>105000000</v>
      </c>
      <c r="C34" s="15" t="n">
        <f aca="false">MIN($C$12,$B34)</f>
        <v>65000000</v>
      </c>
      <c r="D34" s="15" t="n">
        <f aca="false">MIN($C$13,MAX(0,$B34-C34))</f>
        <v>10000000</v>
      </c>
      <c r="E34" s="15" t="n">
        <f aca="false">MIN($C$14,MAX(0,$B34-C34-D34))</f>
        <v>5000000</v>
      </c>
      <c r="F34" s="15" t="n">
        <f aca="false">MAX(0,$B34-C34-D34-E34)</f>
        <v>25000000</v>
      </c>
      <c r="G34" s="20" t="n">
        <f aca="false">IFERROR(F34/$C$15,0)</f>
        <v>1.25</v>
      </c>
    </row>
    <row r="35" customFormat="false" ht="15" hidden="false" customHeight="false" outlineLevel="0" collapsed="false">
      <c r="B35" s="9" t="n">
        <v>120000000</v>
      </c>
      <c r="C35" s="15" t="n">
        <f aca="false">MIN($C$12,$B35)</f>
        <v>65000000</v>
      </c>
      <c r="D35" s="15" t="n">
        <f aca="false">MIN($C$13,MAX(0,$B35-C35))</f>
        <v>10000000</v>
      </c>
      <c r="E35" s="15" t="n">
        <f aca="false">MIN($C$14,MAX(0,$B35-C35-D35))</f>
        <v>5000000</v>
      </c>
      <c r="F35" s="15" t="n">
        <f aca="false">MAX(0,$B35-C35-D35-E35)</f>
        <v>40000000</v>
      </c>
      <c r="G35" s="20" t="n">
        <f aca="false">IFERROR(F35/$C$15,0)</f>
        <v>2</v>
      </c>
    </row>
    <row r="36" customFormat="false" ht="15" hidden="false" customHeight="false" outlineLevel="0" collapsed="false">
      <c r="B36" s="9" t="n">
        <v>140000000</v>
      </c>
      <c r="C36" s="15" t="n">
        <f aca="false">MIN($C$12,$B36)</f>
        <v>65000000</v>
      </c>
      <c r="D36" s="15" t="n">
        <f aca="false">MIN($C$13,MAX(0,$B36-C36))</f>
        <v>10000000</v>
      </c>
      <c r="E36" s="15" t="n">
        <f aca="false">MIN($C$14,MAX(0,$B36-C36-D36))</f>
        <v>5000000</v>
      </c>
      <c r="F36" s="15" t="n">
        <f aca="false">MAX(0,$B36-C36-D36-E36)</f>
        <v>60000000</v>
      </c>
      <c r="G36" s="20" t="n">
        <f aca="false">IFERROR(F36/$C$15,0)</f>
        <v>3</v>
      </c>
    </row>
  </sheetData>
  <mergeCells count="2">
    <mergeCell ref="B4:G4"/>
    <mergeCell ref="B29:G29"/>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H4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8"/>
    <col collapsed="false" customWidth="true" hidden="false" outlineLevel="0" max="7" min="3" style="0" width="14"/>
    <col collapsed="false" customWidth="true" hidden="false" outlineLevel="0" max="8" min="8" style="0" width="50"/>
  </cols>
  <sheetData>
    <row r="2" customFormat="false" ht="17.35" hidden="false" customHeight="false" outlineLevel="0" collapsed="false">
      <c r="B2" s="1" t="s">
        <v>107</v>
      </c>
    </row>
    <row r="4" customFormat="false" ht="45.75" hidden="false" customHeight="true" outlineLevel="0" collapsed="false">
      <c r="B4" s="6" t="s">
        <v>108</v>
      </c>
      <c r="C4" s="6"/>
      <c r="D4" s="6"/>
      <c r="E4" s="6"/>
      <c r="F4" s="6"/>
      <c r="G4" s="6"/>
      <c r="H4" s="6"/>
    </row>
    <row r="6" customFormat="false" ht="15" hidden="false" customHeight="false" outlineLevel="0" collapsed="false">
      <c r="B6" s="3" t="s">
        <v>109</v>
      </c>
    </row>
    <row r="7" customFormat="false" ht="27.75" hidden="false" customHeight="true" outlineLevel="0" collapsed="false">
      <c r="B7" s="7"/>
      <c r="C7" s="7" t="s">
        <v>39</v>
      </c>
      <c r="H7" s="7" t="s">
        <v>110</v>
      </c>
    </row>
    <row r="8" customFormat="false" ht="15" hidden="false" customHeight="false" outlineLevel="0" collapsed="false">
      <c r="B8" s="8" t="s">
        <v>111</v>
      </c>
      <c r="C8" s="24" t="n">
        <v>1</v>
      </c>
      <c r="H8" s="5" t="s">
        <v>112</v>
      </c>
    </row>
    <row r="9" customFormat="false" ht="15" hidden="false" customHeight="false" outlineLevel="0" collapsed="false">
      <c r="B9" s="8" t="s">
        <v>113</v>
      </c>
      <c r="C9" s="17" t="n">
        <v>0.7</v>
      </c>
      <c r="H9" s="5" t="s">
        <v>114</v>
      </c>
    </row>
    <row r="10" customFormat="false" ht="15" hidden="false" customHeight="false" outlineLevel="0" collapsed="false">
      <c r="B10" s="8" t="s">
        <v>115</v>
      </c>
      <c r="C10" s="17" t="n">
        <v>0.1</v>
      </c>
      <c r="H10" s="5" t="s">
        <v>116</v>
      </c>
    </row>
    <row r="11" customFormat="false" ht="15" hidden="false" customHeight="false" outlineLevel="0" collapsed="false">
      <c r="B11" s="8" t="s">
        <v>117</v>
      </c>
      <c r="C11" s="25" t="n">
        <f aca="false">$C$8*$C$9</f>
        <v>0.7</v>
      </c>
      <c r="H11" s="5" t="s">
        <v>118</v>
      </c>
    </row>
    <row r="12" customFormat="false" ht="15" hidden="false" customHeight="false" outlineLevel="0" collapsed="false">
      <c r="B12" s="8" t="s">
        <v>119</v>
      </c>
      <c r="C12" s="25" t="n">
        <f aca="false">$C$8*(1-$C$9)</f>
        <v>0.3</v>
      </c>
      <c r="H12" s="5" t="s">
        <v>120</v>
      </c>
    </row>
    <row r="13" customFormat="false" ht="15" hidden="false" customHeight="false" outlineLevel="0" collapsed="false">
      <c r="B13" s="8" t="s">
        <v>121</v>
      </c>
      <c r="C13" s="25" t="n">
        <f aca="false">$C$8*(1+$C$10)</f>
        <v>1.1</v>
      </c>
      <c r="H13" s="5" t="s">
        <v>122</v>
      </c>
    </row>
    <row r="14" customFormat="false" ht="15" hidden="false" customHeight="false" outlineLevel="0" collapsed="false">
      <c r="B14" s="8" t="s">
        <v>123</v>
      </c>
      <c r="C14" s="25" t="n">
        <f aca="false">$C$8*(1+$C$10)-$C$8*$C$9</f>
        <v>0.4</v>
      </c>
      <c r="H14" s="5" t="s">
        <v>124</v>
      </c>
    </row>
    <row r="15" customFormat="false" ht="15" hidden="false" customHeight="false" outlineLevel="0" collapsed="false">
      <c r="B15" s="11" t="s">
        <v>125</v>
      </c>
      <c r="C15" s="16" t="n">
        <f aca="false">IFERROR(($C$8*(1+$C$10)-$C$8*$C$9)/($C$8*(1-$C$9))-1,0)</f>
        <v>0.333333333333334</v>
      </c>
      <c r="H15" s="5" t="s">
        <v>126</v>
      </c>
    </row>
    <row r="16" customFormat="false" ht="22.35" hidden="false" customHeight="false" outlineLevel="0" collapsed="false">
      <c r="B16" s="8" t="s">
        <v>127</v>
      </c>
      <c r="C16" s="20" t="n">
        <f aca="false">IFERROR(1/(1-$C$9),0)</f>
        <v>3.33333333333333</v>
      </c>
      <c r="H16" s="5" t="s">
        <v>128</v>
      </c>
    </row>
    <row r="18" customFormat="false" ht="15" hidden="false" customHeight="false" outlineLevel="0" collapsed="false">
      <c r="B18" s="3" t="s">
        <v>129</v>
      </c>
    </row>
    <row r="19" customFormat="false" ht="27.75" hidden="false" customHeight="true" outlineLevel="0" collapsed="false">
      <c r="B19" s="7" t="s">
        <v>113</v>
      </c>
      <c r="C19" s="7" t="s">
        <v>119</v>
      </c>
      <c r="D19" s="7" t="s">
        <v>130</v>
      </c>
      <c r="E19" s="7" t="s">
        <v>131</v>
      </c>
      <c r="F19" s="7" t="s">
        <v>132</v>
      </c>
      <c r="G19" s="7" t="s">
        <v>131</v>
      </c>
      <c r="H19" s="7" t="s">
        <v>133</v>
      </c>
    </row>
    <row r="20" customFormat="false" ht="15" hidden="false" customHeight="false" outlineLevel="0" collapsed="false">
      <c r="B20" s="17" t="n">
        <v>0</v>
      </c>
      <c r="C20" s="25" t="n">
        <f aca="false">$C$8*(1-B20)</f>
        <v>1</v>
      </c>
      <c r="D20" s="25" t="n">
        <f aca="false">$C$8*1.1-$C$8*B20</f>
        <v>1.1</v>
      </c>
      <c r="E20" s="10" t="n">
        <f aca="false">IFERROR(D20/C20-1,0)</f>
        <v>0.1</v>
      </c>
      <c r="F20" s="25" t="n">
        <f aca="false">$C$8*0.9-$C$8*B20</f>
        <v>0.9</v>
      </c>
      <c r="G20" s="10" t="n">
        <f aca="false">IFERROR(F20/C20-1,0)</f>
        <v>-0.1</v>
      </c>
      <c r="H20" s="20" t="n">
        <f aca="false">IFERROR(1/(1-B20),0)</f>
        <v>1</v>
      </c>
    </row>
    <row r="21" customFormat="false" ht="15" hidden="false" customHeight="false" outlineLevel="0" collapsed="false">
      <c r="B21" s="17" t="n">
        <v>0.4</v>
      </c>
      <c r="C21" s="25" t="n">
        <f aca="false">$C$8*(1-B21)</f>
        <v>0.6</v>
      </c>
      <c r="D21" s="25" t="n">
        <f aca="false">$C$8*1.1-$C$8*B21</f>
        <v>0.7</v>
      </c>
      <c r="E21" s="10" t="n">
        <f aca="false">IFERROR(D21/C21-1,0)</f>
        <v>0.166666666666667</v>
      </c>
      <c r="F21" s="25" t="n">
        <f aca="false">$C$8*0.9-$C$8*B21</f>
        <v>0.5</v>
      </c>
      <c r="G21" s="10" t="n">
        <f aca="false">IFERROR(F21/C21-1,0)</f>
        <v>-0.166666666666667</v>
      </c>
      <c r="H21" s="20" t="n">
        <f aca="false">IFERROR(1/(1-B21),0)</f>
        <v>1.66666666666667</v>
      </c>
    </row>
    <row r="22" customFormat="false" ht="15" hidden="false" customHeight="false" outlineLevel="0" collapsed="false">
      <c r="B22" s="17" t="n">
        <v>0.5</v>
      </c>
      <c r="C22" s="25" t="n">
        <f aca="false">$C$8*(1-B22)</f>
        <v>0.5</v>
      </c>
      <c r="D22" s="25" t="n">
        <f aca="false">$C$8*1.1-$C$8*B22</f>
        <v>0.6</v>
      </c>
      <c r="E22" s="10" t="n">
        <f aca="false">IFERROR(D22/C22-1,0)</f>
        <v>0.2</v>
      </c>
      <c r="F22" s="25" t="n">
        <f aca="false">$C$8*0.9-$C$8*B22</f>
        <v>0.4</v>
      </c>
      <c r="G22" s="10" t="n">
        <f aca="false">IFERROR(F22/C22-1,0)</f>
        <v>-0.2</v>
      </c>
      <c r="H22" s="20" t="n">
        <f aca="false">IFERROR(1/(1-B22),0)</f>
        <v>2</v>
      </c>
    </row>
    <row r="23" customFormat="false" ht="15" hidden="false" customHeight="false" outlineLevel="0" collapsed="false">
      <c r="B23" s="17" t="n">
        <v>0.6</v>
      </c>
      <c r="C23" s="25" t="n">
        <f aca="false">$C$8*(1-B23)</f>
        <v>0.4</v>
      </c>
      <c r="D23" s="25" t="n">
        <f aca="false">$C$8*1.1-$C$8*B23</f>
        <v>0.5</v>
      </c>
      <c r="E23" s="10" t="n">
        <f aca="false">IFERROR(D23/C23-1,0)</f>
        <v>0.25</v>
      </c>
      <c r="F23" s="25" t="n">
        <f aca="false">$C$8*0.9-$C$8*B23</f>
        <v>0.3</v>
      </c>
      <c r="G23" s="10" t="n">
        <f aca="false">IFERROR(F23/C23-1,0)</f>
        <v>-0.25</v>
      </c>
      <c r="H23" s="20" t="n">
        <f aca="false">IFERROR(1/(1-B23),0)</f>
        <v>2.5</v>
      </c>
    </row>
    <row r="24" customFormat="false" ht="15" hidden="false" customHeight="false" outlineLevel="0" collapsed="false">
      <c r="B24" s="17" t="n">
        <v>0.65</v>
      </c>
      <c r="C24" s="25" t="n">
        <f aca="false">$C$8*(1-B24)</f>
        <v>0.35</v>
      </c>
      <c r="D24" s="25" t="n">
        <f aca="false">$C$8*1.1-$C$8*B24</f>
        <v>0.45</v>
      </c>
      <c r="E24" s="10" t="n">
        <f aca="false">IFERROR(D24/C24-1,0)</f>
        <v>0.285714285714286</v>
      </c>
      <c r="F24" s="25" t="n">
        <f aca="false">$C$8*0.9-$C$8*B24</f>
        <v>0.25</v>
      </c>
      <c r="G24" s="10" t="n">
        <f aca="false">IFERROR(F24/C24-1,0)</f>
        <v>-0.285714285714286</v>
      </c>
      <c r="H24" s="20" t="n">
        <f aca="false">IFERROR(1/(1-B24),0)</f>
        <v>2.85714285714286</v>
      </c>
    </row>
    <row r="25" customFormat="false" ht="15" hidden="false" customHeight="false" outlineLevel="0" collapsed="false">
      <c r="B25" s="17" t="n">
        <v>0.7</v>
      </c>
      <c r="C25" s="25" t="n">
        <f aca="false">$C$8*(1-B25)</f>
        <v>0.3</v>
      </c>
      <c r="D25" s="25" t="n">
        <f aca="false">$C$8*1.1-$C$8*B25</f>
        <v>0.4</v>
      </c>
      <c r="E25" s="10" t="n">
        <f aca="false">IFERROR(D25/C25-1,0)</f>
        <v>0.333333333333334</v>
      </c>
      <c r="F25" s="25" t="n">
        <f aca="false">$C$8*0.9-$C$8*B25</f>
        <v>0.2</v>
      </c>
      <c r="G25" s="10" t="n">
        <f aca="false">IFERROR(F25/C25-1,0)</f>
        <v>-0.333333333333333</v>
      </c>
      <c r="H25" s="20" t="n">
        <f aca="false">IFERROR(1/(1-B25),0)</f>
        <v>3.33333333333333</v>
      </c>
    </row>
    <row r="26" customFormat="false" ht="15" hidden="false" customHeight="false" outlineLevel="0" collapsed="false">
      <c r="B26" s="17" t="n">
        <v>0.75</v>
      </c>
      <c r="C26" s="25" t="n">
        <f aca="false">$C$8*(1-B26)</f>
        <v>0.25</v>
      </c>
      <c r="D26" s="25" t="n">
        <f aca="false">$C$8*1.1-$C$8*B26</f>
        <v>0.35</v>
      </c>
      <c r="E26" s="10" t="n">
        <f aca="false">IFERROR(D26/C26-1,0)</f>
        <v>0.4</v>
      </c>
      <c r="F26" s="25" t="n">
        <f aca="false">$C$8*0.9-$C$8*B26</f>
        <v>0.15</v>
      </c>
      <c r="G26" s="10" t="n">
        <f aca="false">IFERROR(F26/C26-1,0)</f>
        <v>-0.4</v>
      </c>
      <c r="H26" s="20" t="n">
        <f aca="false">IFERROR(1/(1-B26),0)</f>
        <v>4</v>
      </c>
    </row>
    <row r="27" customFormat="false" ht="15" hidden="false" customHeight="false" outlineLevel="0" collapsed="false">
      <c r="B27" s="17" t="n">
        <v>0.8</v>
      </c>
      <c r="C27" s="25" t="n">
        <f aca="false">$C$8*(1-B27)</f>
        <v>0.2</v>
      </c>
      <c r="D27" s="25" t="n">
        <f aca="false">$C$8*1.1-$C$8*B27</f>
        <v>0.3</v>
      </c>
      <c r="E27" s="10" t="n">
        <f aca="false">IFERROR(D27/C27-1,0)</f>
        <v>0.500000000000001</v>
      </c>
      <c r="F27" s="25" t="n">
        <f aca="false">$C$8*0.9-$C$8*B27</f>
        <v>0.1</v>
      </c>
      <c r="G27" s="10" t="n">
        <f aca="false">IFERROR(F27/C27-1,0)</f>
        <v>-0.5</v>
      </c>
      <c r="H27" s="20" t="n">
        <f aca="false">IFERROR(1/(1-B27),0)</f>
        <v>5</v>
      </c>
    </row>
    <row r="28" customFormat="false" ht="15" hidden="false" customHeight="false" outlineLevel="0" collapsed="false">
      <c r="B28" s="17" t="n">
        <v>0.85</v>
      </c>
      <c r="C28" s="25" t="n">
        <f aca="false">$C$8*(1-B28)</f>
        <v>0.15</v>
      </c>
      <c r="D28" s="25" t="n">
        <f aca="false">$C$8*1.1-$C$8*B28</f>
        <v>0.25</v>
      </c>
      <c r="E28" s="10" t="n">
        <f aca="false">IFERROR(D28/C28-1,0)</f>
        <v>0.666666666666667</v>
      </c>
      <c r="F28" s="25" t="n">
        <f aca="false">$C$8*0.9-$C$8*B28</f>
        <v>0.05</v>
      </c>
      <c r="G28" s="10" t="n">
        <f aca="false">IFERROR(F28/C28-1,0)</f>
        <v>-0.666666666666666</v>
      </c>
      <c r="H28" s="20" t="n">
        <f aca="false">IFERROR(1/(1-B28),0)</f>
        <v>6.66666666666667</v>
      </c>
    </row>
    <row r="30" customFormat="false" ht="22.35" hidden="false" customHeight="true" outlineLevel="0" collapsed="false">
      <c r="B30" s="23" t="s">
        <v>134</v>
      </c>
      <c r="C30" s="23"/>
      <c r="D30" s="23"/>
      <c r="E30" s="23"/>
      <c r="F30" s="23"/>
      <c r="G30" s="23"/>
      <c r="H30" s="23"/>
    </row>
    <row r="32" customFormat="false" ht="26.85" hidden="false" customHeight="false" outlineLevel="0" collapsed="false">
      <c r="B32" s="3" t="s">
        <v>135</v>
      </c>
    </row>
    <row r="33" customFormat="false" ht="27.75" hidden="false" customHeight="true" outlineLevel="0" collapsed="false">
      <c r="B33" s="7" t="s">
        <v>113</v>
      </c>
      <c r="C33" s="7" t="s">
        <v>136</v>
      </c>
      <c r="D33" s="7" t="s">
        <v>137</v>
      </c>
      <c r="H33" s="7"/>
    </row>
    <row r="34" customFormat="false" ht="15" hidden="false" customHeight="false" outlineLevel="0" collapsed="false">
      <c r="B34" s="17" t="n">
        <v>0.5</v>
      </c>
      <c r="C34" s="10" t="n">
        <f aca="false">-(1-B34)</f>
        <v>-0.5</v>
      </c>
      <c r="D34" s="10" t="n">
        <f aca="false">IFERROR(B34/0.9-1,0)</f>
        <v>-0.444444444444444</v>
      </c>
      <c r="H34" s="5"/>
    </row>
    <row r="35" customFormat="false" ht="15" hidden="false" customHeight="false" outlineLevel="0" collapsed="false">
      <c r="B35" s="17" t="n">
        <v>0.6</v>
      </c>
      <c r="C35" s="10" t="n">
        <f aca="false">-(1-B35)</f>
        <v>-0.4</v>
      </c>
      <c r="D35" s="10" t="n">
        <f aca="false">IFERROR(B35/0.9-1,0)</f>
        <v>-0.333333333333333</v>
      </c>
      <c r="H35" s="5"/>
    </row>
    <row r="36" customFormat="false" ht="15" hidden="false" customHeight="false" outlineLevel="0" collapsed="false">
      <c r="B36" s="17" t="n">
        <v>0.65</v>
      </c>
      <c r="C36" s="10" t="n">
        <f aca="false">-(1-B36)</f>
        <v>-0.35</v>
      </c>
      <c r="D36" s="10" t="n">
        <f aca="false">IFERROR(B36/0.9-1,0)</f>
        <v>-0.277777777777778</v>
      </c>
      <c r="H36" s="5"/>
    </row>
    <row r="37" customFormat="false" ht="15" hidden="false" customHeight="false" outlineLevel="0" collapsed="false">
      <c r="B37" s="17" t="n">
        <v>0.7</v>
      </c>
      <c r="C37" s="10" t="n">
        <f aca="false">-(1-B37)</f>
        <v>-0.3</v>
      </c>
      <c r="D37" s="10" t="n">
        <f aca="false">IFERROR(B37/0.9-1,0)</f>
        <v>-0.222222222222222</v>
      </c>
      <c r="H37" s="5"/>
    </row>
    <row r="38" customFormat="false" ht="15" hidden="false" customHeight="false" outlineLevel="0" collapsed="false">
      <c r="B38" s="17" t="n">
        <v>0.75</v>
      </c>
      <c r="C38" s="10" t="n">
        <f aca="false">-(1-B38)</f>
        <v>-0.25</v>
      </c>
      <c r="D38" s="10" t="n">
        <f aca="false">IFERROR(B38/0.9-1,0)</f>
        <v>-0.166666666666667</v>
      </c>
      <c r="H38" s="5"/>
    </row>
    <row r="39" customFormat="false" ht="15" hidden="false" customHeight="false" outlineLevel="0" collapsed="false">
      <c r="B39" s="17" t="n">
        <v>0.8</v>
      </c>
      <c r="C39" s="10" t="n">
        <f aca="false">-(1-B39)</f>
        <v>-0.2</v>
      </c>
      <c r="D39" s="10" t="n">
        <f aca="false">IFERROR(B39/0.9-1,0)</f>
        <v>-0.111111111111111</v>
      </c>
      <c r="H39" s="5"/>
    </row>
    <row r="40" customFormat="false" ht="15" hidden="false" customHeight="false" outlineLevel="0" collapsed="false">
      <c r="B40" s="17" t="n">
        <v>0.85</v>
      </c>
      <c r="C40" s="10" t="n">
        <f aca="false">-(1-B40)</f>
        <v>-0.15</v>
      </c>
      <c r="D40" s="10" t="n">
        <f aca="false">IFERROR(B40/0.9-1,0)</f>
        <v>-0.0555555555555556</v>
      </c>
      <c r="H40" s="5"/>
    </row>
    <row r="42" customFormat="false" ht="15" hidden="false" customHeight="false" outlineLevel="0" collapsed="false">
      <c r="B42" s="3" t="s">
        <v>138</v>
      </c>
    </row>
    <row r="43" customFormat="false" ht="63.75" hidden="false" customHeight="true" outlineLevel="0" collapsed="false">
      <c r="B43" s="6" t="s">
        <v>139</v>
      </c>
      <c r="C43" s="6"/>
      <c r="D43" s="6"/>
      <c r="E43" s="6"/>
      <c r="F43" s="6"/>
      <c r="G43" s="6"/>
      <c r="H43" s="6"/>
    </row>
  </sheetData>
  <mergeCells count="3">
    <mergeCell ref="B4:H4"/>
    <mergeCell ref="B30:H30"/>
    <mergeCell ref="B43:H4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F3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0"/>
    <col collapsed="false" customWidth="true" hidden="false" outlineLevel="0" max="5" min="3" style="0" width="16"/>
    <col collapsed="false" customWidth="true" hidden="false" outlineLevel="0" max="6" min="6" style="0" width="50"/>
  </cols>
  <sheetData>
    <row r="2" customFormat="false" ht="32.8" hidden="false" customHeight="false" outlineLevel="0" collapsed="false">
      <c r="B2" s="1" t="s">
        <v>140</v>
      </c>
    </row>
    <row r="4" customFormat="false" ht="39.75" hidden="false" customHeight="true" outlineLevel="0" collapsed="false">
      <c r="B4" s="6" t="s">
        <v>141</v>
      </c>
      <c r="C4" s="6"/>
      <c r="D4" s="6"/>
      <c r="E4" s="6"/>
      <c r="F4" s="6"/>
    </row>
    <row r="6" customFormat="false" ht="15" hidden="false" customHeight="false" outlineLevel="0" collapsed="false">
      <c r="B6" s="3" t="s">
        <v>142</v>
      </c>
    </row>
    <row r="7" customFormat="false" ht="27.75" hidden="false" customHeight="true" outlineLevel="0" collapsed="false">
      <c r="B7" s="7"/>
      <c r="C7" s="7" t="s">
        <v>39</v>
      </c>
      <c r="F7" s="7" t="s">
        <v>20</v>
      </c>
    </row>
    <row r="8" customFormat="false" ht="22.35" hidden="false" customHeight="false" outlineLevel="0" collapsed="false">
      <c r="B8" s="8" t="s">
        <v>143</v>
      </c>
      <c r="C8" s="9" t="n">
        <v>15000000</v>
      </c>
      <c r="F8" s="5" t="s">
        <v>144</v>
      </c>
    </row>
    <row r="9" customFormat="false" ht="15" hidden="false" customHeight="false" outlineLevel="0" collapsed="false">
      <c r="B9" s="8" t="s">
        <v>145</v>
      </c>
      <c r="C9" s="18" t="n">
        <v>0.11</v>
      </c>
      <c r="F9" s="5" t="s">
        <v>146</v>
      </c>
    </row>
    <row r="10" customFormat="false" ht="15" hidden="false" customHeight="false" outlineLevel="0" collapsed="false">
      <c r="B10" s="8" t="s">
        <v>147</v>
      </c>
      <c r="C10" s="18" t="n">
        <v>0.09</v>
      </c>
      <c r="F10" s="5" t="s">
        <v>148</v>
      </c>
    </row>
    <row r="11" customFormat="false" ht="15" hidden="false" customHeight="false" outlineLevel="0" collapsed="false">
      <c r="B11" s="8" t="s">
        <v>28</v>
      </c>
      <c r="C11" s="9" t="n">
        <v>65000000</v>
      </c>
      <c r="F11" s="5"/>
    </row>
    <row r="12" customFormat="false" ht="15" hidden="false" customHeight="false" outlineLevel="0" collapsed="false">
      <c r="B12" s="8" t="s">
        <v>149</v>
      </c>
      <c r="C12" s="18" t="n">
        <v>0.08</v>
      </c>
      <c r="F12" s="5"/>
    </row>
    <row r="13" customFormat="false" ht="15" hidden="false" customHeight="false" outlineLevel="0" collapsed="false">
      <c r="B13" s="8" t="s">
        <v>85</v>
      </c>
      <c r="C13" s="9" t="n">
        <v>20000000</v>
      </c>
      <c r="F13" s="5"/>
    </row>
    <row r="14" customFormat="false" ht="15" hidden="false" customHeight="false" outlineLevel="0" collapsed="false">
      <c r="B14" s="8" t="s">
        <v>46</v>
      </c>
      <c r="C14" s="19" t="n">
        <v>3</v>
      </c>
      <c r="F14" s="5" t="s">
        <v>150</v>
      </c>
    </row>
    <row r="15" customFormat="false" ht="22.35" hidden="false" customHeight="false" outlineLevel="0" collapsed="false">
      <c r="B15" s="8" t="s">
        <v>151</v>
      </c>
      <c r="C15" s="17" t="n">
        <v>0.6</v>
      </c>
      <c r="F15" s="5" t="s">
        <v>152</v>
      </c>
    </row>
    <row r="17" customFormat="false" ht="27.75" hidden="false" customHeight="true" outlineLevel="0" collapsed="false">
      <c r="B17" s="7"/>
      <c r="C17" s="7" t="s">
        <v>153</v>
      </c>
      <c r="D17" s="7" t="s">
        <v>154</v>
      </c>
      <c r="F17" s="7"/>
    </row>
    <row r="18" customFormat="false" ht="15" hidden="false" customHeight="false" outlineLevel="0" collapsed="false">
      <c r="B18" s="8" t="s">
        <v>155</v>
      </c>
      <c r="C18" s="15" t="n">
        <f aca="false">$C$8</f>
        <v>15000000</v>
      </c>
      <c r="D18" s="15" t="n">
        <f aca="false">$C$8</f>
        <v>15000000</v>
      </c>
      <c r="F18" s="5"/>
    </row>
    <row r="19" customFormat="false" ht="15" hidden="false" customHeight="false" outlineLevel="0" collapsed="false">
      <c r="B19" s="8" t="s">
        <v>76</v>
      </c>
      <c r="C19" s="21" t="n">
        <f aca="false">$C$9</f>
        <v>0.11</v>
      </c>
      <c r="D19" s="21" t="n">
        <f aca="false">$C$10</f>
        <v>0.09</v>
      </c>
      <c r="F19" s="5"/>
    </row>
    <row r="20" customFormat="false" ht="15" hidden="false" customHeight="false" outlineLevel="0" collapsed="false">
      <c r="B20" s="8" t="s">
        <v>77</v>
      </c>
      <c r="C20" s="15" t="n">
        <f aca="false">$C$8*$C$9</f>
        <v>1650000</v>
      </c>
      <c r="D20" s="15" t="n">
        <f aca="false">$C$8*$C$10</f>
        <v>1350000</v>
      </c>
      <c r="F20" s="5"/>
    </row>
    <row r="21" customFormat="false" ht="22.35" hidden="false" customHeight="false" outlineLevel="0" collapsed="false">
      <c r="B21" s="8" t="s">
        <v>156</v>
      </c>
      <c r="C21" s="15" t="n">
        <f aca="false">$C$8*$C$9*$C$14</f>
        <v>4950000</v>
      </c>
      <c r="D21" s="15" t="n">
        <f aca="false">$C$8*$C$10*$C$14</f>
        <v>4050000</v>
      </c>
      <c r="F21" s="5" t="s">
        <v>157</v>
      </c>
    </row>
    <row r="22" customFormat="false" ht="15" hidden="false" customHeight="false" outlineLevel="0" collapsed="false">
      <c r="B22" s="8" t="s">
        <v>158</v>
      </c>
      <c r="C22" s="15" t="n">
        <f aca="false">$C$8*((1+$C$9)^$C$14-1)</f>
        <v>5514465</v>
      </c>
      <c r="D22" s="15" t="n">
        <f aca="false">$C$8*((1+$C$10)^$C$14-1)</f>
        <v>4425435</v>
      </c>
      <c r="F22" s="5" t="s">
        <v>159</v>
      </c>
    </row>
    <row r="23" customFormat="false" ht="15" hidden="false" customHeight="false" outlineLevel="0" collapsed="false">
      <c r="B23" s="8" t="s">
        <v>160</v>
      </c>
      <c r="C23" s="15" t="n">
        <f aca="false">$C$8*(1+$C$9)^$C$14</f>
        <v>20514465</v>
      </c>
      <c r="D23" s="15" t="n">
        <f aca="false">$C$8*(1+$C$10)^$C$14</f>
        <v>19425435</v>
      </c>
      <c r="F23" s="5"/>
    </row>
    <row r="24" customFormat="false" ht="15" hidden="false" customHeight="false" outlineLevel="0" collapsed="false">
      <c r="B24" s="8" t="s">
        <v>161</v>
      </c>
      <c r="C24" s="22" t="s">
        <v>162</v>
      </c>
      <c r="D24" s="22" t="s">
        <v>162</v>
      </c>
      <c r="F24" s="5"/>
    </row>
    <row r="25" customFormat="false" ht="22.35" hidden="false" customHeight="false" outlineLevel="0" collapsed="false">
      <c r="B25" s="8" t="s">
        <v>163</v>
      </c>
      <c r="C25" s="22" t="s">
        <v>162</v>
      </c>
      <c r="D25" s="22" t="s">
        <v>164</v>
      </c>
      <c r="F25" s="5" t="s">
        <v>165</v>
      </c>
    </row>
    <row r="26" customFormat="false" ht="15" hidden="false" customHeight="false" outlineLevel="0" collapsed="false">
      <c r="B26" s="8" t="s">
        <v>166</v>
      </c>
      <c r="C26" s="22" t="s">
        <v>162</v>
      </c>
      <c r="D26" s="22" t="s">
        <v>167</v>
      </c>
      <c r="F26" s="5" t="s">
        <v>168</v>
      </c>
    </row>
    <row r="27" customFormat="false" ht="15" hidden="false" customHeight="false" outlineLevel="0" collapsed="false">
      <c r="B27" s="8" t="s">
        <v>169</v>
      </c>
      <c r="C27" s="22" t="s">
        <v>162</v>
      </c>
      <c r="D27" s="22" t="s">
        <v>164</v>
      </c>
      <c r="F27" s="5" t="s">
        <v>170</v>
      </c>
    </row>
    <row r="29" customFormat="false" ht="15" hidden="false" customHeight="false" outlineLevel="0" collapsed="false">
      <c r="B29" s="3" t="s">
        <v>171</v>
      </c>
    </row>
    <row r="30" customFormat="false" ht="27.75" hidden="false" customHeight="true" outlineLevel="0" collapsed="false">
      <c r="B30" s="7"/>
      <c r="C30" s="7" t="s">
        <v>39</v>
      </c>
      <c r="F30" s="7" t="s">
        <v>20</v>
      </c>
    </row>
    <row r="31" customFormat="false" ht="15" hidden="false" customHeight="false" outlineLevel="0" collapsed="false">
      <c r="B31" s="8" t="s">
        <v>172</v>
      </c>
      <c r="C31" s="15" t="n">
        <f aca="false">$C$8*((1+$C$9)^$C$14-1)-$C$8*((1+$C$10)^$C$14-1)</f>
        <v>1089030</v>
      </c>
      <c r="F31" s="5" t="s">
        <v>173</v>
      </c>
    </row>
    <row r="32" customFormat="false" ht="22.35" hidden="false" customHeight="false" outlineLevel="0" collapsed="false">
      <c r="B32" s="8" t="s">
        <v>174</v>
      </c>
      <c r="C32" s="15" t="n">
        <f aca="false">$C$11-($C$11+$C$8+$C$13)*$C$15</f>
        <v>5000000</v>
      </c>
      <c r="F32" s="5" t="s">
        <v>175</v>
      </c>
    </row>
    <row r="33" customFormat="false" ht="15" hidden="false" customHeight="false" outlineLevel="0" collapsed="false">
      <c r="B33" s="8" t="s">
        <v>176</v>
      </c>
      <c r="C33" s="15" t="n">
        <f aca="false">MAX(0,$C$11-($C$11+$C$8+$C$13)*$C$15)</f>
        <v>5000000</v>
      </c>
      <c r="F33" s="5" t="s">
        <v>177</v>
      </c>
    </row>
    <row r="34" customFormat="false" ht="15" hidden="false" customHeight="false" outlineLevel="0" collapsed="false">
      <c r="B34" s="8" t="s">
        <v>178</v>
      </c>
      <c r="C34" s="15" t="n">
        <f aca="false">MAX(0,$C$11-($C$11+$C$8+$C$13)*$C$15)*((1+$C$9)^$C$14-1)</f>
        <v>1838155</v>
      </c>
      <c r="F34" s="5"/>
    </row>
    <row r="35" customFormat="false" ht="15" hidden="false" customHeight="false" outlineLevel="0" collapsed="false">
      <c r="B35" s="8" t="s">
        <v>179</v>
      </c>
      <c r="C35" s="15" t="n">
        <f aca="false">$C$8*((1+$C$9)^$C$14-1)</f>
        <v>5514465</v>
      </c>
      <c r="F35" s="5"/>
    </row>
    <row r="36" customFormat="false" ht="22.35" hidden="false" customHeight="false" outlineLevel="0" collapsed="false">
      <c r="B36" s="8" t="s">
        <v>180</v>
      </c>
      <c r="C36" s="15" t="n">
        <f aca="false">$C$8*((1+$C$10)^$C$14-1)+MAX(0,$C$11-($C$11+$C$8+$C$13)*$C$15)*((1+$C$10)^$C$14-1)</f>
        <v>5900580</v>
      </c>
      <c r="F36" s="5" t="s">
        <v>181</v>
      </c>
    </row>
    <row r="37" customFormat="false" ht="22.35" hidden="false" customHeight="false" outlineLevel="0" collapsed="false">
      <c r="B37" s="8" t="s">
        <v>182</v>
      </c>
      <c r="C37" s="8" t="str">
        <f aca="false">IF($C$8*((1+$C$9)^$C$14-1)&lt;$C$8*((1+$C$10)^$C$14-1)+MAX(0,$C$11-($C$11+$C$8+$C$13)*$C$15)*((1+$C$10)^$C$14-1),"Mezzanine","Preferred equity")</f>
        <v>Mezzanine</v>
      </c>
      <c r="F37" s="5" t="s">
        <v>183</v>
      </c>
    </row>
  </sheetData>
  <mergeCells count="1">
    <mergeCell ref="B4:F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F3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56"/>
    <col collapsed="false" customWidth="true" hidden="false" outlineLevel="0" max="4" min="3" style="0" width="18"/>
    <col collapsed="false" customWidth="true" hidden="false" outlineLevel="0" max="5" min="5" style="0" width="11"/>
    <col collapsed="false" customWidth="true" hidden="false" outlineLevel="0" max="6" min="6" style="0" width="46"/>
  </cols>
  <sheetData>
    <row r="2" customFormat="false" ht="17.35" hidden="false" customHeight="false" outlineLevel="0" collapsed="false">
      <c r="B2" s="1" t="s">
        <v>11</v>
      </c>
    </row>
    <row r="4" customFormat="false" ht="15" hidden="false" customHeight="true" outlineLevel="0" collapsed="false">
      <c r="B4" s="6" t="s">
        <v>184</v>
      </c>
      <c r="C4" s="6"/>
      <c r="D4" s="6"/>
      <c r="E4" s="6"/>
      <c r="F4" s="6"/>
    </row>
    <row r="6" customFormat="false" ht="27.75" hidden="false" customHeight="true" outlineLevel="0" collapsed="false">
      <c r="B6" s="7" t="s">
        <v>185</v>
      </c>
      <c r="C6" s="7" t="s">
        <v>186</v>
      </c>
      <c r="D6" s="7" t="s">
        <v>187</v>
      </c>
      <c r="E6" s="7" t="s">
        <v>188</v>
      </c>
      <c r="F6" s="7" t="s">
        <v>189</v>
      </c>
    </row>
    <row r="7" customFormat="false" ht="15" hidden="false" customHeight="false" outlineLevel="0" collapsed="false">
      <c r="B7" s="8" t="s">
        <v>190</v>
      </c>
      <c r="C7" s="15" t="n">
        <v>56000000</v>
      </c>
      <c r="D7" s="15" t="n">
        <f aca="false">'Value-Add Stack'!$C$11</f>
        <v>56000000</v>
      </c>
      <c r="E7" s="26" t="str">
        <f aca="false">IF(ABS(D7-C7)&lt;=1,"OK","ECART")</f>
        <v>OK</v>
      </c>
      <c r="F7" s="5" t="s">
        <v>191</v>
      </c>
    </row>
    <row r="8" customFormat="false" ht="15" hidden="false" customHeight="false" outlineLevel="0" collapsed="false">
      <c r="B8" s="8" t="s">
        <v>192</v>
      </c>
      <c r="C8" s="15" t="n">
        <v>36400000</v>
      </c>
      <c r="D8" s="15" t="n">
        <f aca="false">'Value-Add Stack'!$C$15</f>
        <v>36400000</v>
      </c>
      <c r="E8" s="26" t="str">
        <f aca="false">IF(ABS(D8-C8)&lt;=1,"OK","ECART")</f>
        <v>OK</v>
      </c>
      <c r="F8" s="5" t="s">
        <v>193</v>
      </c>
    </row>
    <row r="9" customFormat="false" ht="15" hidden="false" customHeight="false" outlineLevel="0" collapsed="false">
      <c r="B9" s="8" t="s">
        <v>194</v>
      </c>
      <c r="C9" s="15" t="n">
        <v>19600000</v>
      </c>
      <c r="D9" s="15" t="n">
        <f aca="false">'Value-Add Stack'!$C$16</f>
        <v>19600000</v>
      </c>
      <c r="E9" s="26" t="str">
        <f aca="false">IF(ABS(D9-C9)&lt;=1,"OK","ECART")</f>
        <v>OK</v>
      </c>
      <c r="F9" s="5" t="s">
        <v>195</v>
      </c>
    </row>
    <row r="10" customFormat="false" ht="15" hidden="false" customHeight="false" outlineLevel="0" collapsed="false">
      <c r="B10" s="8" t="s">
        <v>196</v>
      </c>
      <c r="C10" s="15" t="n">
        <v>3000000</v>
      </c>
      <c r="D10" s="15" t="n">
        <f aca="false">'Value-Add Stack'!$C$17</f>
        <v>3000000</v>
      </c>
      <c r="E10" s="26" t="str">
        <f aca="false">IF(ABS(D10-C10)&lt;=1,"OK","ECART")</f>
        <v>OK</v>
      </c>
      <c r="F10" s="5" t="s">
        <v>197</v>
      </c>
    </row>
    <row r="11" customFormat="false" ht="15" hidden="false" customHeight="false" outlineLevel="0" collapsed="false">
      <c r="B11" s="8" t="s">
        <v>198</v>
      </c>
      <c r="C11" s="15" t="n">
        <v>16600000</v>
      </c>
      <c r="D11" s="15" t="n">
        <f aca="false">'Value-Add Stack'!$C$18</f>
        <v>16600000</v>
      </c>
      <c r="E11" s="26" t="str">
        <f aca="false">IF(ABS(D11-C11)&lt;=1,"OK","ECART")</f>
        <v>OK</v>
      </c>
      <c r="F11" s="5" t="s">
        <v>199</v>
      </c>
    </row>
    <row r="12" customFormat="false" ht="15" hidden="false" customHeight="false" outlineLevel="0" collapsed="false">
      <c r="B12" s="8" t="s">
        <v>200</v>
      </c>
      <c r="C12" s="15" t="n">
        <v>100000000</v>
      </c>
      <c r="D12" s="15" t="n">
        <f aca="false">'Development Stack'!$C$8</f>
        <v>100000000</v>
      </c>
      <c r="E12" s="26" t="str">
        <f aca="false">IF(ABS(D12-C12)&lt;=1,"OK","ECART")</f>
        <v>OK</v>
      </c>
      <c r="F12" s="5" t="s">
        <v>201</v>
      </c>
    </row>
    <row r="13" customFormat="false" ht="15" hidden="false" customHeight="false" outlineLevel="0" collapsed="false">
      <c r="B13" s="8" t="s">
        <v>202</v>
      </c>
      <c r="C13" s="15" t="n">
        <v>65000000</v>
      </c>
      <c r="D13" s="15" t="n">
        <f aca="false">'Development Stack'!$C$12</f>
        <v>65000000</v>
      </c>
      <c r="E13" s="26" t="str">
        <f aca="false">IF(ABS(D13-C13)&lt;=1,"OK","ECART")</f>
        <v>OK</v>
      </c>
      <c r="F13" s="5" t="s">
        <v>203</v>
      </c>
    </row>
    <row r="14" customFormat="false" ht="15" hidden="false" customHeight="false" outlineLevel="0" collapsed="false">
      <c r="B14" s="8" t="s">
        <v>204</v>
      </c>
      <c r="C14" s="15" t="n">
        <v>10000000</v>
      </c>
      <c r="D14" s="15" t="n">
        <f aca="false">'Development Stack'!$C$13</f>
        <v>10000000</v>
      </c>
      <c r="E14" s="26" t="str">
        <f aca="false">IF(ABS(D14-C14)&lt;=1,"OK","ECART")</f>
        <v>OK</v>
      </c>
      <c r="F14" s="5" t="s">
        <v>205</v>
      </c>
    </row>
    <row r="15" customFormat="false" ht="15" hidden="false" customHeight="false" outlineLevel="0" collapsed="false">
      <c r="B15" s="8" t="s">
        <v>206</v>
      </c>
      <c r="C15" s="21" t="n">
        <v>0.11</v>
      </c>
      <c r="D15" s="21" t="n">
        <f aca="false">'Development Stack'!$E$13</f>
        <v>0.11</v>
      </c>
      <c r="E15" s="26" t="str">
        <f aca="false">IF(ABS(D15-C15)&lt;=0.00005,"OK","ECART")</f>
        <v>OK</v>
      </c>
      <c r="F15" s="5" t="s">
        <v>207</v>
      </c>
    </row>
    <row r="16" customFormat="false" ht="15" hidden="false" customHeight="false" outlineLevel="0" collapsed="false">
      <c r="B16" s="8" t="s">
        <v>208</v>
      </c>
      <c r="C16" s="15" t="n">
        <v>5000000</v>
      </c>
      <c r="D16" s="15" t="n">
        <f aca="false">'Development Stack'!$C$14</f>
        <v>5000000</v>
      </c>
      <c r="E16" s="26" t="str">
        <f aca="false">IF(ABS(D16-C16)&lt;=1,"OK","ECART")</f>
        <v>OK</v>
      </c>
      <c r="F16" s="5" t="s">
        <v>209</v>
      </c>
    </row>
    <row r="17" customFormat="false" ht="15" hidden="false" customHeight="false" outlineLevel="0" collapsed="false">
      <c r="B17" s="8" t="s">
        <v>210</v>
      </c>
      <c r="C17" s="21" t="n">
        <v>0.09</v>
      </c>
      <c r="D17" s="21" t="n">
        <f aca="false">'Development Stack'!$E$14</f>
        <v>0.09</v>
      </c>
      <c r="E17" s="26" t="str">
        <f aca="false">IF(ABS(D17-C17)&lt;=0.00005,"OK","ECART")</f>
        <v>OK</v>
      </c>
      <c r="F17" s="5" t="s">
        <v>211</v>
      </c>
    </row>
    <row r="18" customFormat="false" ht="15" hidden="false" customHeight="false" outlineLevel="0" collapsed="false">
      <c r="B18" s="8" t="s">
        <v>212</v>
      </c>
      <c r="C18" s="15" t="n">
        <v>20000000</v>
      </c>
      <c r="D18" s="15" t="n">
        <f aca="false">'Development Stack'!$C$15</f>
        <v>20000000</v>
      </c>
      <c r="E18" s="26" t="str">
        <f aca="false">IF(ABS(D18-C18)&lt;=1,"OK","ECART")</f>
        <v>OK</v>
      </c>
      <c r="F18" s="5" t="s">
        <v>213</v>
      </c>
    </row>
    <row r="19" customFormat="false" ht="15" hidden="false" customHeight="false" outlineLevel="0" collapsed="false">
      <c r="B19" s="8" t="s">
        <v>214</v>
      </c>
      <c r="C19" s="10" t="n">
        <v>0.75</v>
      </c>
      <c r="D19" s="10" t="n">
        <f aca="false">'Development Stack'!$C$20</f>
        <v>0.75</v>
      </c>
      <c r="E19" s="26" t="str">
        <f aca="false">IF(ABS(D19-C19)&lt;=0.0005,"OK","ECART")</f>
        <v>OK</v>
      </c>
      <c r="F19" s="5" t="s">
        <v>215</v>
      </c>
    </row>
    <row r="20" customFormat="false" ht="15" hidden="false" customHeight="false" outlineLevel="0" collapsed="false">
      <c r="B20" s="8" t="s">
        <v>216</v>
      </c>
      <c r="C20" s="10" t="n">
        <v>0.3333</v>
      </c>
      <c r="D20" s="10" t="n">
        <f aca="false">'Leverage Math'!$C$15</f>
        <v>0.333333333333334</v>
      </c>
      <c r="E20" s="26" t="str">
        <f aca="false">IF(ABS(D20-C20)&lt;=0.0005,"OK","ECART")</f>
        <v>OK</v>
      </c>
      <c r="F20" s="5" t="s">
        <v>217</v>
      </c>
    </row>
    <row r="22" customFormat="false" ht="15" hidden="false" customHeight="false" outlineLevel="0" collapsed="false">
      <c r="B22" s="3" t="s">
        <v>218</v>
      </c>
    </row>
    <row r="23" customFormat="false" ht="27.75" hidden="false" customHeight="true" outlineLevel="0" collapsed="false">
      <c r="B23" s="7" t="s">
        <v>185</v>
      </c>
      <c r="C23" s="7" t="s">
        <v>219</v>
      </c>
      <c r="D23" s="7" t="s">
        <v>220</v>
      </c>
      <c r="E23" s="7" t="s">
        <v>188</v>
      </c>
      <c r="F23" s="7" t="s">
        <v>20</v>
      </c>
    </row>
    <row r="24" customFormat="false" ht="15" hidden="false" customHeight="false" outlineLevel="0" collapsed="false">
      <c r="B24" s="8" t="s">
        <v>221</v>
      </c>
      <c r="C24" s="15" t="n">
        <f aca="false">'Value-Add Stack'!$C$11</f>
        <v>56000000</v>
      </c>
      <c r="D24" s="15" t="n">
        <f aca="false">'Value-Add Stack'!$C$19</f>
        <v>56000000</v>
      </c>
      <c r="E24" s="26" t="str">
        <f aca="false">IF(ABS(D24-C24)&lt;=1,"OK","ECART")</f>
        <v>OK</v>
      </c>
      <c r="F24" s="5"/>
    </row>
    <row r="25" customFormat="false" ht="15" hidden="false" customHeight="false" outlineLevel="0" collapsed="false">
      <c r="B25" s="8" t="s">
        <v>222</v>
      </c>
      <c r="C25" s="15" t="n">
        <f aca="false">'Value-Add Stack'!$C$16</f>
        <v>19600000</v>
      </c>
      <c r="D25" s="15" t="n">
        <f aca="false">'Value-Add Stack'!$C$17+'Value-Add Stack'!$C$18</f>
        <v>19600000</v>
      </c>
      <c r="E25" s="26" t="str">
        <f aca="false">IF(ABS(D25-C25)&lt;=1,"OK","ECART")</f>
        <v>OK</v>
      </c>
      <c r="F25" s="5"/>
    </row>
    <row r="26" customFormat="false" ht="15" hidden="false" customHeight="false" outlineLevel="0" collapsed="false">
      <c r="B26" s="8" t="s">
        <v>223</v>
      </c>
      <c r="C26" s="15" t="n">
        <f aca="false">'Development Stack'!$C$8</f>
        <v>100000000</v>
      </c>
      <c r="D26" s="15" t="n">
        <f aca="false">'Development Stack'!$C$16</f>
        <v>100000000</v>
      </c>
      <c r="E26" s="26" t="str">
        <f aca="false">IF(ABS(D26-C26)&lt;=1,"OK","ECART")</f>
        <v>OK</v>
      </c>
      <c r="F26" s="5"/>
    </row>
    <row r="27" customFormat="false" ht="15" hidden="false" customHeight="false" outlineLevel="0" collapsed="false">
      <c r="B27" s="8" t="s">
        <v>224</v>
      </c>
      <c r="C27" s="10" t="n">
        <v>1</v>
      </c>
      <c r="D27" s="10" t="n">
        <f aca="false">'Development Stack'!$D$16</f>
        <v>1</v>
      </c>
      <c r="E27" s="26" t="str">
        <f aca="false">IF(ABS(D27-C27)&lt;=0.0001,"OK","ECART")</f>
        <v>OK</v>
      </c>
      <c r="F27" s="5"/>
    </row>
    <row r="28" customFormat="false" ht="15" hidden="false" customHeight="false" outlineLevel="0" collapsed="false">
      <c r="B28" s="8" t="s">
        <v>225</v>
      </c>
      <c r="C28" s="10" t="n">
        <f aca="false">-'Leverage Math'!$C$15</f>
        <v>-0.333333333333334</v>
      </c>
      <c r="D28" s="10" t="n">
        <f aca="false">'Leverage Math'!$G$25</f>
        <v>-0.333333333333333</v>
      </c>
      <c r="E28" s="26" t="str">
        <f aca="false">IF(ABS(D28-C28)&lt;=0.0005,"OK","ECART")</f>
        <v>OK</v>
      </c>
      <c r="F28" s="5" t="s">
        <v>226</v>
      </c>
    </row>
    <row r="29" customFormat="false" ht="15" hidden="false" customHeight="false" outlineLevel="0" collapsed="false">
      <c r="B29" s="8" t="s">
        <v>227</v>
      </c>
      <c r="C29" s="20" t="n">
        <v>1</v>
      </c>
      <c r="D29" s="20" t="n">
        <f aca="false">'Leverage Math'!$H$20</f>
        <v>1</v>
      </c>
      <c r="E29" s="26" t="str">
        <f aca="false">IF(ABS(D29-C29)&lt;=0.0001,"OK","ECART")</f>
        <v>OK</v>
      </c>
      <c r="F29" s="5" t="s">
        <v>228</v>
      </c>
    </row>
    <row r="31" customFormat="false" ht="15" hidden="false" customHeight="false" outlineLevel="0" collapsed="false">
      <c r="B31" s="4" t="s">
        <v>229</v>
      </c>
      <c r="D31" s="27" t="str">
        <f aca="false">IF(COUNTIF(E7:E20,"OK")+COUNTIF(E24:E29,"OK")=20,"TOUT CONCORDE","VERIFIER")</f>
        <v>TOUT CONCORDE</v>
      </c>
    </row>
  </sheetData>
  <mergeCells count="1">
    <mergeCell ref="B4:F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2026-08-12T19:45:40Z</dcterms:created>
  <dc:creator>openpyxl</dc:creator>
  <dc:description/>
  <dc:language>en-US</dc:language>
  <cp:lastModifiedBy/>
  <dcterms:modified xsi:type="dcterms:W3CDTF">2026-08-12T19:45:40Z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