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Income" sheetId="3" state="visible" r:id="rId3"/>
    <sheet xmlns:r="http://schemas.openxmlformats.org/officeDocument/2006/relationships" name="Payment and DTI" sheetId="4" state="visible" r:id="rId4"/>
    <sheet xmlns:r="http://schemas.openxmlformats.org/officeDocument/2006/relationships" name="Assets" sheetId="5" state="visible" r:id="rId5"/>
    <sheet xmlns:r="http://schemas.openxmlformats.org/officeDocument/2006/relationships" name="Collateral" sheetId="6" state="visible" r:id="rId6"/>
    <sheet xmlns:r="http://schemas.openxmlformats.org/officeDocument/2006/relationships" name="Contrast Files" sheetId="7" state="visible" r:id="rId7"/>
    <sheet xmlns:r="http://schemas.openxmlformats.org/officeDocument/2006/relationships" name="QC and Repurchase" sheetId="8" state="visible" r:id="rId8"/>
    <sheet xmlns:r="http://schemas.openxmlformats.org/officeDocument/2006/relationships"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"/>
    <numFmt numFmtId="165" formatCode="0.0%"/>
    <numFmt numFmtId="166" formatCode="0.000%"/>
    <numFmt numFmtId="167" formatCode="0.00&quot;x&quot;"/>
    <numFmt numFmtId="168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sz val="10"/>
    </font>
    <font>
      <name val="Arial"/>
      <color rgb="001F4FB4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6382A"/>
      </patternFill>
    </fill>
    <fill>
      <patternFill patternType="solid">
        <fgColor rgb="00EEF3FB"/>
      </patternFill>
    </fill>
    <fill>
      <patternFill patternType="solid">
        <fgColor rgb="002F5A45"/>
      </patternFill>
    </fill>
    <fill>
      <patternFill patternType="solid">
        <fgColor rgb="00F3E6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" fontId="4" fillId="3" borderId="0" pivotButton="0" quotePrefix="0" xfId="0"/>
    <xf numFmtId="10" fontId="4" fillId="3" borderId="0" pivotButton="0" quotePrefix="0" xfId="0"/>
    <xf numFmtId="167" fontId="4" fillId="3" borderId="0" pivotButton="0" quotePrefix="0" xfId="0"/>
    <xf numFmtId="3" fontId="4" fillId="3" borderId="0" pivotButton="0" quotePrefix="0" xfId="0"/>
    <xf numFmtId="0" fontId="5" fillId="4" borderId="0" applyAlignment="1" pivotButton="0" quotePrefix="0" xfId="0">
      <alignment vertical="center" wrapText="1"/>
    </xf>
    <xf numFmtId="164" fontId="2" fillId="0" borderId="0" pivotButton="0" quotePrefix="0" xfId="0"/>
    <xf numFmtId="165" fontId="2" fillId="0" borderId="0" pivotButton="0" quotePrefix="0" xfId="0"/>
    <xf numFmtId="164" fontId="3" fillId="5" borderId="0" pivotButton="0" quotePrefix="0" xfId="0"/>
    <xf numFmtId="165" fontId="3" fillId="5" borderId="0" pivotButton="0" quotePrefix="0" xfId="0"/>
    <xf numFmtId="167" fontId="3" fillId="5" borderId="0" pivotButton="0" quotePrefix="0" xfId="0"/>
    <xf numFmtId="168" fontId="2" fillId="0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10" customHeight="1"/>
    <row r="2">
      <c r="B2" s="1" t="inlineStr">
        <is>
          <t>The Mortgage Underwriter: companion workbook</t>
        </is>
      </c>
    </row>
    <row r="4">
      <c r="B4" s="2" t="inlineStr">
        <is>
          <t>This workbook rebuilds the Calloway file of The Mortgage Underwriter (Julian R. Sterling, 2026) with live formulas.</t>
        </is>
      </c>
    </row>
    <row r="5">
      <c r="B5" s="2" t="inlineStr">
        <is>
          <t>Blue cells on a light blue background are inputs. Everything else is a formula. Amounts in US dollars; monthly figures rounded to the dollar and ratios shown to one decimal, as in the book.</t>
        </is>
      </c>
    </row>
    <row r="6">
      <c r="B6" s="2" t="inlineStr">
        <is>
          <t>Key dates of the case: application 9 February 2026; conditional approval 19 February 2026; appraisal 26 February 2026; amended contract 3 March 2026; pre-closing credit refresh 20 March 2026; clear to close 23 March 2026; closing and funding 30 March 2026; sale to Fannie Mae 21 April 2026; quality control selection 14 April 2026, finding 12 May 2026, cured 4 June 2026.</t>
        </is>
      </c>
    </row>
    <row r="7">
      <c r="B7" s="2" t="inlineStr">
        <is>
          <t>Inputs: every assumption of the case (price and loan, note rate, mortgage insurance rate, taxes and insurance, income, debts, assets, appraisal, the five contrast files, QC and the repurchase).</t>
        </is>
      </c>
    </row>
    <row r="8">
      <c r="B8" s="2" t="inlineStr">
        <is>
          <t>Income (Chapters 4 and 5): base salary, bonus averaged over 24 months, self-employed income by year with depreciation added back, lower year against two-year average, the loan officer's figure.</t>
        </is>
      </c>
    </row>
    <row r="9">
      <c r="B9" s="2" t="inlineStr">
        <is>
          <t>Payment and DTI (Chapters 6 and 10): principal and interest by formula, mortgage insurance, taxes and insurance, housing ratio and debt-to-income ratio at application, after the price change and after the new debt.</t>
        </is>
      </c>
    </row>
    <row r="10">
      <c r="B10" s="2" t="inlineStr">
        <is>
          <t>Assets (Chapter 7): funds needed, earnest money, cash due at closing, verified funds, funds left after closing, reserves required, the large deposit threshold and the unsourced counterfactual.</t>
        </is>
      </c>
    </row>
    <row r="11">
      <c r="B11" s="2" t="inlineStr">
        <is>
          <t>Collateral (Chapter 9): the appraisal shortfall, the loan-to-value ratio on the lower value and the new loan amount.</t>
        </is>
      </c>
    </row>
    <row r="12">
      <c r="B12" s="2" t="inlineStr">
        <is>
          <t>Contrast Files (Chapters 11 and 12): FHA, VA, jumbo, bank statement and DSCR files, each computed from its own inputs.</t>
        </is>
      </c>
    </row>
    <row r="13">
      <c r="B13" s="2" t="inlineStr">
        <is>
          <t>QC and Repurchase (Chapter 14): the significant defect rate of the case lender and the loss on the repurchased loan.</t>
        </is>
      </c>
    </row>
    <row r="14">
      <c r="B14" s="2" t="inlineStr">
        <is>
          <t>Checks: the figures printed in the book beside the formulas that produce them. ALL CHECKS OK on the default inputs.</t>
        </is>
      </c>
    </row>
    <row r="15">
      <c r="B15" s="2" t="inlineStr">
        <is>
          <t>The workbook does not run an automated underwriting system, does not price loans and does not compute VA residual income.</t>
        </is>
      </c>
    </row>
    <row r="16">
      <c r="B16" s="2" t="inlineStr">
        <is>
          <t>Everything in the case is fictional and illustrative; note rates and investor terms are assumptions, not market terms. Nothing here is lending,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8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46" customWidth="1" min="4" max="4"/>
  </cols>
  <sheetData>
    <row r="1" ht="10" customHeight="1"/>
    <row r="2">
      <c r="B2" s="1" t="inlineStr">
        <is>
          <t>Inputs (blue cells)</t>
        </is>
      </c>
      <c r="C2" s="3" t="n"/>
      <c r="D2" s="3" t="n"/>
    </row>
    <row r="5">
      <c r="B5" s="4" t="inlineStr">
        <is>
          <t>The Calloway loan</t>
        </is>
      </c>
    </row>
    <row r="6">
      <c r="B6" s="2" t="inlineStr">
        <is>
          <t>Contract price at application</t>
        </is>
      </c>
      <c r="C6" s="5" t="n">
        <v>485000</v>
      </c>
      <c r="D6" s="2" t="inlineStr"/>
    </row>
    <row r="7">
      <c r="B7" s="2" t="inlineStr">
        <is>
          <t>Loan-to-value ratio</t>
        </is>
      </c>
      <c r="C7" s="6" t="n">
        <v>0.9</v>
      </c>
      <c r="D7" s="2" t="inlineStr"/>
    </row>
    <row r="8">
      <c r="B8" s="2" t="inlineStr">
        <is>
          <t>Note rate, 30-year fixed (case assumption)</t>
        </is>
      </c>
      <c r="C8" s="7" t="n">
        <v>0.07000000000000001</v>
      </c>
      <c r="D8" s="2" t="inlineStr"/>
    </row>
    <row r="9">
      <c r="B9" s="2" t="inlineStr">
        <is>
          <t>Term in months</t>
        </is>
      </c>
      <c r="C9" s="8" t="n">
        <v>360</v>
      </c>
      <c r="D9" s="2" t="inlineStr"/>
    </row>
    <row r="10">
      <c r="B10" s="2" t="inlineStr">
        <is>
          <t>Mortgage insurance, annual rate on the loan (case assumption)</t>
        </is>
      </c>
      <c r="C10" s="9" t="n">
        <v>0.006</v>
      </c>
      <c r="D10" s="2" t="inlineStr"/>
    </row>
    <row r="11">
      <c r="B11" s="2" t="inlineStr">
        <is>
          <t>Property tax a month</t>
        </is>
      </c>
      <c r="C11" s="5" t="n">
        <v>505</v>
      </c>
      <c r="D11" s="2" t="inlineStr"/>
    </row>
    <row r="12">
      <c r="B12" s="2" t="inlineStr">
        <is>
          <t>Homeowners insurance a month</t>
        </is>
      </c>
      <c r="C12" s="5" t="n">
        <v>180</v>
      </c>
      <c r="D12" s="2" t="inlineStr"/>
    </row>
    <row r="13">
      <c r="B13" s="2" t="inlineStr">
        <is>
          <t>Appraised value</t>
        </is>
      </c>
      <c r="C13" s="5" t="n">
        <v>478000</v>
      </c>
      <c r="D13" s="2" t="inlineStr"/>
    </row>
    <row r="14">
      <c r="B14" s="2" t="inlineStr">
        <is>
          <t>Amended contract price</t>
        </is>
      </c>
      <c r="C14" s="5" t="n">
        <v>478000</v>
      </c>
      <c r="D14" s="2" t="inlineStr"/>
    </row>
    <row r="16">
      <c r="B16" s="4" t="inlineStr">
        <is>
          <t>Income</t>
        </is>
      </c>
    </row>
    <row r="17">
      <c r="B17" s="2" t="inlineStr">
        <is>
          <t>Owen: base salary a month</t>
        </is>
      </c>
      <c r="C17" s="5" t="n">
        <v>7800</v>
      </c>
      <c r="D17" s="2" t="inlineStr"/>
    </row>
    <row r="18">
      <c r="B18" s="2" t="inlineStr">
        <is>
          <t>Owen: bonus 2024</t>
        </is>
      </c>
      <c r="C18" s="5" t="n">
        <v>6000</v>
      </c>
      <c r="D18" s="2" t="inlineStr"/>
    </row>
    <row r="19">
      <c r="B19" s="2" t="inlineStr">
        <is>
          <t>Owen: bonus 2025</t>
        </is>
      </c>
      <c r="C19" s="5" t="n">
        <v>9000</v>
      </c>
      <c r="D19" s="2" t="inlineStr"/>
    </row>
    <row r="20">
      <c r="B20" s="2" t="inlineStr">
        <is>
          <t>Nadia: Schedule C net profit 2024</t>
        </is>
      </c>
      <c r="C20" s="5" t="n">
        <v>49800</v>
      </c>
      <c r="D20" s="2" t="inlineStr"/>
    </row>
    <row r="21">
      <c r="B21" s="2" t="inlineStr">
        <is>
          <t>Nadia: Schedule C net profit 2025</t>
        </is>
      </c>
      <c r="C21" s="5" t="n">
        <v>43600</v>
      </c>
      <c r="D21" s="2" t="inlineStr"/>
    </row>
    <row r="22">
      <c r="B22" s="2" t="inlineStr">
        <is>
          <t>Nadia: depreciation 2024 (added back)</t>
        </is>
      </c>
      <c r="C22" s="5" t="n">
        <v>2200</v>
      </c>
      <c r="D22" s="2" t="inlineStr"/>
    </row>
    <row r="23">
      <c r="B23" s="2" t="inlineStr">
        <is>
          <t>Nadia: depreciation 2025 (added back)</t>
        </is>
      </c>
      <c r="C23" s="5" t="n">
        <v>2400</v>
      </c>
      <c r="D23" s="2" t="inlineStr"/>
    </row>
    <row r="24">
      <c r="B24" s="2" t="inlineStr">
        <is>
          <t>Bonus used by the loan officer (annual)</t>
        </is>
      </c>
      <c r="C24" s="5" t="n">
        <v>9000</v>
      </c>
      <c r="D24" s="2" t="inlineStr">
        <is>
          <t>the 2025 bonus alone</t>
        </is>
      </c>
    </row>
    <row r="26">
      <c r="B26" s="4" t="inlineStr">
        <is>
          <t>Debts (monthly)</t>
        </is>
      </c>
    </row>
    <row r="27">
      <c r="B27" s="2" t="inlineStr">
        <is>
          <t>Auto loan</t>
        </is>
      </c>
      <c r="C27" s="5" t="n">
        <v>512</v>
      </c>
      <c r="D27" s="2" t="inlineStr">
        <is>
          <t>14 payments remaining</t>
        </is>
      </c>
    </row>
    <row r="28">
      <c r="B28" s="2" t="inlineStr">
        <is>
          <t>Student loan</t>
        </is>
      </c>
      <c r="C28" s="5" t="n">
        <v>285</v>
      </c>
      <c r="D28" s="2" t="inlineStr"/>
    </row>
    <row r="29">
      <c r="B29" s="2" t="inlineStr">
        <is>
          <t>Credit card minimum payments</t>
        </is>
      </c>
      <c r="C29" s="5" t="n">
        <v>95</v>
      </c>
      <c r="D29" s="2" t="inlineStr"/>
    </row>
    <row r="30">
      <c r="B30" s="2" t="inlineStr">
        <is>
          <t>Furniture account found on the pre-closing refresh</t>
        </is>
      </c>
      <c r="C30" s="5" t="n">
        <v>180</v>
      </c>
      <c r="D30" s="2" t="inlineStr"/>
    </row>
    <row r="32">
      <c r="B32" s="4" t="inlineStr">
        <is>
          <t>Assets</t>
        </is>
      </c>
    </row>
    <row r="33">
      <c r="B33" s="2" t="inlineStr">
        <is>
          <t>Checking</t>
        </is>
      </c>
      <c r="C33" s="5" t="n">
        <v>22600</v>
      </c>
      <c r="D33" s="2" t="inlineStr"/>
    </row>
    <row r="34">
      <c r="B34" s="2" t="inlineStr">
        <is>
          <t>Savings</t>
        </is>
      </c>
      <c r="C34" s="5" t="n">
        <v>28400</v>
      </c>
      <c r="D34" s="2" t="inlineStr"/>
    </row>
    <row r="35">
      <c r="B35" s="2" t="inlineStr">
        <is>
          <t>Gift from Nadia's parents</t>
        </is>
      </c>
      <c r="C35" s="5" t="n">
        <v>15000</v>
      </c>
      <c r="D35" s="2" t="inlineStr"/>
    </row>
    <row r="36">
      <c r="B36" s="2" t="inlineStr">
        <is>
          <t>Earnest money already paid</t>
        </is>
      </c>
      <c r="C36" s="5" t="n">
        <v>5000</v>
      </c>
      <c r="D36" s="2" t="inlineStr"/>
    </row>
    <row r="37">
      <c r="B37" s="2" t="inlineStr">
        <is>
          <t>Closing costs and prepaids</t>
        </is>
      </c>
      <c r="C37" s="5" t="n">
        <v>12900</v>
      </c>
      <c r="D37" s="2" t="inlineStr"/>
    </row>
    <row r="38">
      <c r="B38" s="2" t="inlineStr">
        <is>
          <t>Reserves required, months of PITI</t>
        </is>
      </c>
      <c r="C38" s="8" t="n">
        <v>2</v>
      </c>
      <c r="D38" s="2" t="inlineStr"/>
    </row>
    <row r="39">
      <c r="B39" s="2" t="inlineStr">
        <is>
          <t>Large deposit (sale of a car)</t>
        </is>
      </c>
      <c r="C39" s="5" t="n">
        <v>9400</v>
      </c>
      <c r="D39" s="2" t="inlineStr"/>
    </row>
    <row r="40">
      <c r="B40" s="2" t="inlineStr">
        <is>
          <t>Large deposit threshold, share of monthly income</t>
        </is>
      </c>
      <c r="C40" s="6" t="n">
        <v>0.5</v>
      </c>
      <c r="D40" s="2" t="inlineStr"/>
    </row>
    <row r="42">
      <c r="B42" s="4" t="inlineStr">
        <is>
          <t>Contrast files</t>
        </is>
      </c>
    </row>
    <row r="43">
      <c r="B43" s="2" t="inlineStr">
        <is>
          <t>FHA: price</t>
        </is>
      </c>
      <c r="C43" s="5" t="n">
        <v>310000</v>
      </c>
      <c r="D43" s="2" t="inlineStr"/>
    </row>
    <row r="44">
      <c r="B44" s="2" t="inlineStr">
        <is>
          <t>FHA: down payment</t>
        </is>
      </c>
      <c r="C44" s="6" t="n">
        <v>0.035</v>
      </c>
      <c r="D44" s="2" t="inlineStr"/>
    </row>
    <row r="45">
      <c r="B45" s="2" t="inlineStr">
        <is>
          <t>FHA: upfront MIP</t>
        </is>
      </c>
      <c r="C45" s="9" t="n">
        <v>0.0175</v>
      </c>
      <c r="D45" s="2" t="inlineStr"/>
    </row>
    <row r="46">
      <c r="B46" s="2" t="inlineStr">
        <is>
          <t>FHA: annual MIP</t>
        </is>
      </c>
      <c r="C46" s="9" t="n">
        <v>0.0055</v>
      </c>
      <c r="D46" s="2" t="inlineStr"/>
    </row>
    <row r="47">
      <c r="B47" s="2" t="inlineStr">
        <is>
          <t>FHA: note rate</t>
        </is>
      </c>
      <c r="C47" s="7" t="n">
        <v>0.0675</v>
      </c>
      <c r="D47" s="2" t="inlineStr"/>
    </row>
    <row r="48">
      <c r="B48" s="2" t="inlineStr">
        <is>
          <t>FHA: taxes a month</t>
        </is>
      </c>
      <c r="C48" s="5" t="n">
        <v>310</v>
      </c>
      <c r="D48" s="2" t="inlineStr"/>
    </row>
    <row r="49">
      <c r="B49" s="2" t="inlineStr">
        <is>
          <t>FHA: insurance a month</t>
        </is>
      </c>
      <c r="C49" s="5" t="n">
        <v>140</v>
      </c>
      <c r="D49" s="2" t="inlineStr"/>
    </row>
    <row r="50">
      <c r="B50" s="2" t="inlineStr">
        <is>
          <t>FHA: income a month</t>
        </is>
      </c>
      <c r="C50" s="5" t="n">
        <v>7100</v>
      </c>
      <c r="D50" s="2" t="inlineStr"/>
    </row>
    <row r="51">
      <c r="B51" s="2" t="inlineStr">
        <is>
          <t>FHA: debts a month</t>
        </is>
      </c>
      <c r="C51" s="5" t="n">
        <v>640</v>
      </c>
      <c r="D51" s="2" t="inlineStr"/>
    </row>
    <row r="52">
      <c r="B52" s="2" t="inlineStr">
        <is>
          <t>VA: price</t>
        </is>
      </c>
      <c r="C52" s="5" t="n">
        <v>365000</v>
      </c>
      <c r="D52" s="2" t="inlineStr"/>
    </row>
    <row r="53">
      <c r="B53" s="2" t="inlineStr">
        <is>
          <t>VA: funding fee</t>
        </is>
      </c>
      <c r="C53" s="9" t="n">
        <v>0.0215</v>
      </c>
      <c r="D53" s="2" t="inlineStr"/>
    </row>
    <row r="54">
      <c r="B54" s="2" t="inlineStr">
        <is>
          <t>VA: note rate</t>
        </is>
      </c>
      <c r="C54" s="7" t="n">
        <v>0.065</v>
      </c>
      <c r="D54" s="2" t="inlineStr"/>
    </row>
    <row r="55">
      <c r="B55" s="2" t="inlineStr">
        <is>
          <t>VA: taxes a month</t>
        </is>
      </c>
      <c r="C55" s="5" t="n">
        <v>360</v>
      </c>
      <c r="D55" s="2" t="inlineStr"/>
    </row>
    <row r="56">
      <c r="B56" s="2" t="inlineStr">
        <is>
          <t>VA: insurance a month</t>
        </is>
      </c>
      <c r="C56" s="5" t="n">
        <v>150</v>
      </c>
      <c r="D56" s="2" t="inlineStr"/>
    </row>
    <row r="57">
      <c r="B57" s="2" t="inlineStr">
        <is>
          <t>VA: income a month</t>
        </is>
      </c>
      <c r="C57" s="5" t="n">
        <v>9100</v>
      </c>
      <c r="D57" s="2" t="inlineStr"/>
    </row>
    <row r="58">
      <c r="B58" s="2" t="inlineStr">
        <is>
          <t>VA: debts a month</t>
        </is>
      </c>
      <c r="C58" s="5" t="n">
        <v>950</v>
      </c>
      <c r="D58" s="2" t="inlineStr"/>
    </row>
    <row r="59">
      <c r="B59" s="2" t="inlineStr">
        <is>
          <t>Jumbo: price</t>
        </is>
      </c>
      <c r="C59" s="5" t="n">
        <v>1400000</v>
      </c>
      <c r="D59" s="2" t="inlineStr"/>
    </row>
    <row r="60">
      <c r="B60" s="2" t="inlineStr">
        <is>
          <t>Jumbo: loan-to-value</t>
        </is>
      </c>
      <c r="C60" s="6" t="n">
        <v>0.8</v>
      </c>
      <c r="D60" s="2" t="inlineStr"/>
    </row>
    <row r="61">
      <c r="B61" s="2" t="inlineStr">
        <is>
          <t>Baseline conforming limit 2026 (FHFA)</t>
        </is>
      </c>
      <c r="C61" s="5" t="n">
        <v>832750</v>
      </c>
      <c r="D61" s="2" t="inlineStr">
        <is>
          <t>real, FHFA 25 November 2025</t>
        </is>
      </c>
    </row>
    <row r="62">
      <c r="B62" s="2" t="inlineStr">
        <is>
          <t>Jumbo: note rate</t>
        </is>
      </c>
      <c r="C62" s="7" t="n">
        <v>0.0725</v>
      </c>
      <c r="D62" s="2" t="inlineStr"/>
    </row>
    <row r="63">
      <c r="B63" s="2" t="inlineStr">
        <is>
          <t>Jumbo: taxes a month</t>
        </is>
      </c>
      <c r="C63" s="5" t="n">
        <v>1460</v>
      </c>
      <c r="D63" s="2" t="inlineStr"/>
    </row>
    <row r="64">
      <c r="B64" s="2" t="inlineStr">
        <is>
          <t>Jumbo: insurance a month</t>
        </is>
      </c>
      <c r="C64" s="5" t="n">
        <v>420</v>
      </c>
      <c r="D64" s="2" t="inlineStr"/>
    </row>
    <row r="65">
      <c r="B65" s="2" t="inlineStr">
        <is>
          <t>Jumbo: income a month</t>
        </is>
      </c>
      <c r="C65" s="5" t="n">
        <v>31000</v>
      </c>
      <c r="D65" s="2" t="inlineStr"/>
    </row>
    <row r="66">
      <c r="B66" s="2" t="inlineStr">
        <is>
          <t>Jumbo: debts a month</t>
        </is>
      </c>
      <c r="C66" s="5" t="n">
        <v>1900</v>
      </c>
      <c r="D66" s="2" t="inlineStr"/>
    </row>
    <row r="67">
      <c r="B67" s="2" t="inlineStr">
        <is>
          <t>Jumbo: reserves required, months</t>
        </is>
      </c>
      <c r="C67" s="8" t="n">
        <v>12</v>
      </c>
      <c r="D67" s="2" t="inlineStr"/>
    </row>
    <row r="68">
      <c r="B68" s="2" t="inlineStr">
        <is>
          <t>Bank statement: eligible deposits, 12 months</t>
        </is>
      </c>
      <c r="C68" s="5" t="n">
        <v>486000</v>
      </c>
      <c r="D68" s="2" t="inlineStr"/>
    </row>
    <row r="69">
      <c r="B69" s="2" t="inlineStr">
        <is>
          <t>Bank statement: expense factor</t>
        </is>
      </c>
      <c r="C69" s="6" t="n">
        <v>0.5</v>
      </c>
      <c r="D69" s="2" t="inlineStr"/>
    </row>
    <row r="70">
      <c r="B70" s="2" t="inlineStr">
        <is>
          <t>Bank statement: price</t>
        </is>
      </c>
      <c r="C70" s="5" t="n">
        <v>650000</v>
      </c>
      <c r="D70" s="2" t="inlineStr"/>
    </row>
    <row r="71">
      <c r="B71" s="2" t="inlineStr">
        <is>
          <t>Bank statement: loan</t>
        </is>
      </c>
      <c r="C71" s="5" t="n">
        <v>520000</v>
      </c>
      <c r="D71" s="2" t="inlineStr"/>
    </row>
    <row r="72">
      <c r="B72" s="2" t="inlineStr">
        <is>
          <t>Bank statement: note rate</t>
        </is>
      </c>
      <c r="C72" s="7" t="n">
        <v>0.0825</v>
      </c>
      <c r="D72" s="2" t="inlineStr"/>
    </row>
    <row r="73">
      <c r="B73" s="2" t="inlineStr">
        <is>
          <t>Bank statement: taxes a month</t>
        </is>
      </c>
      <c r="C73" s="5" t="n">
        <v>640</v>
      </c>
      <c r="D73" s="2" t="inlineStr"/>
    </row>
    <row r="74">
      <c r="B74" s="2" t="inlineStr">
        <is>
          <t>Bank statement: insurance a month</t>
        </is>
      </c>
      <c r="C74" s="5" t="n">
        <v>230</v>
      </c>
      <c r="D74" s="2" t="inlineStr"/>
    </row>
    <row r="75">
      <c r="B75" s="2" t="inlineStr">
        <is>
          <t>Bank statement: debts a month</t>
        </is>
      </c>
      <c r="C75" s="5" t="n">
        <v>1350</v>
      </c>
      <c r="D75" s="2" t="inlineStr"/>
    </row>
    <row r="76">
      <c r="B76" s="2" t="inlineStr">
        <is>
          <t>DSCR: price</t>
        </is>
      </c>
      <c r="C76" s="5" t="n">
        <v>260000</v>
      </c>
      <c r="D76" s="2" t="inlineStr"/>
    </row>
    <row r="77">
      <c r="B77" s="2" t="inlineStr">
        <is>
          <t>DSCR: loan-to-value</t>
        </is>
      </c>
      <c r="C77" s="6" t="n">
        <v>0.75</v>
      </c>
      <c r="D77" s="2" t="inlineStr"/>
    </row>
    <row r="78">
      <c r="B78" s="2" t="inlineStr">
        <is>
          <t>DSCR: note rate</t>
        </is>
      </c>
      <c r="C78" s="7" t="n">
        <v>0.07875</v>
      </c>
      <c r="D78" s="2" t="inlineStr"/>
    </row>
    <row r="79">
      <c r="B79" s="2" t="inlineStr">
        <is>
          <t>DSCR: taxes a month</t>
        </is>
      </c>
      <c r="C79" s="5" t="n">
        <v>260</v>
      </c>
      <c r="D79" s="2" t="inlineStr"/>
    </row>
    <row r="80">
      <c r="B80" s="2" t="inlineStr">
        <is>
          <t>DSCR: insurance a month</t>
        </is>
      </c>
      <c r="C80" s="5" t="n">
        <v>115</v>
      </c>
      <c r="D80" s="2" t="inlineStr"/>
    </row>
    <row r="81">
      <c r="B81" s="2" t="inlineStr">
        <is>
          <t>DSCR: market rent a month</t>
        </is>
      </c>
      <c r="C81" s="5" t="n">
        <v>2150</v>
      </c>
      <c r="D81" s="2" t="inlineStr"/>
    </row>
    <row r="82">
      <c r="B82" s="2" t="inlineStr">
        <is>
          <t>DSCR: investor minimum (case terms)</t>
        </is>
      </c>
      <c r="C82" s="10" t="n">
        <v>1</v>
      </c>
      <c r="D82" s="2" t="inlineStr"/>
    </row>
    <row r="84">
      <c r="B84" s="4" t="inlineStr">
        <is>
          <t>Quality control and repurchase</t>
        </is>
      </c>
    </row>
    <row r="85">
      <c r="B85" s="2" t="inlineStr">
        <is>
          <t>QC sample 2025 (loans reviewed)</t>
        </is>
      </c>
      <c r="C85" s="11" t="n">
        <v>720</v>
      </c>
      <c r="D85" s="2" t="inlineStr"/>
    </row>
    <row r="86">
      <c r="B86" s="2" t="inlineStr">
        <is>
          <t>Significant defects 2025</t>
        </is>
      </c>
      <c r="C86" s="8" t="n">
        <v>21</v>
      </c>
      <c r="D86" s="2" t="inlineStr"/>
    </row>
    <row r="87">
      <c r="B87" s="2" t="inlineStr">
        <is>
          <t>Repurchase: unpaid balance</t>
        </is>
      </c>
      <c r="C87" s="5" t="n">
        <v>297600</v>
      </c>
      <c r="D87" s="2" t="inlineStr"/>
    </row>
    <row r="88">
      <c r="B88" s="2" t="inlineStr">
        <is>
          <t>Repurchase: resale price, percent of balance</t>
        </is>
      </c>
      <c r="C88" s="6" t="n">
        <v>0.91</v>
      </c>
      <c r="D8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</cols>
  <sheetData>
    <row r="1" ht="10" customHeight="1"/>
    <row r="2">
      <c r="B2" s="1" t="inlineStr">
        <is>
          <t>Qualifying income (monthly)</t>
        </is>
      </c>
      <c r="C2" s="3" t="n"/>
    </row>
    <row r="4">
      <c r="B4" s="12" t="inlineStr">
        <is>
          <t>Line</t>
        </is>
      </c>
      <c r="C4" s="12" t="inlineStr">
        <is>
          <t>$</t>
        </is>
      </c>
    </row>
    <row r="5">
      <c r="B5" s="2" t="inlineStr">
        <is>
          <t>Base salary</t>
        </is>
      </c>
      <c r="C5" s="13">
        <f>Inputs!$C$17</f>
        <v/>
      </c>
    </row>
    <row r="6">
      <c r="B6" s="2" t="inlineStr">
        <is>
          <t>Bonus, two-year average over 24 months</t>
        </is>
      </c>
      <c r="C6" s="13">
        <f>(Inputs!$C$18+Inputs!$C$19)/24</f>
        <v/>
      </c>
    </row>
    <row r="7">
      <c r="B7" s="2" t="inlineStr">
        <is>
          <t>Self-employed income 2024 (net profit plus depreciation)</t>
        </is>
      </c>
      <c r="C7" s="13">
        <f>Inputs!$C$20+Inputs!$C$22</f>
        <v/>
      </c>
    </row>
    <row r="8">
      <c r="B8" s="2" t="inlineStr">
        <is>
          <t>Self-employed income 2025 (net profit plus depreciation)</t>
        </is>
      </c>
      <c r="C8" s="13">
        <f>Inputs!$C$21+Inputs!$C$23</f>
        <v/>
      </c>
    </row>
    <row r="9">
      <c r="B9" s="2" t="inlineStr">
        <is>
          <t>Decline 2024 to 2025</t>
        </is>
      </c>
      <c r="C9" s="14">
        <f>1-C8/C7</f>
        <v/>
      </c>
    </row>
    <row r="10">
      <c r="B10" s="2" t="inlineStr">
        <is>
          <t>Self-employed income used: lower, most recent year / 12</t>
        </is>
      </c>
      <c r="C10" s="13">
        <f>MIN(C7,C8)/12</f>
        <v/>
      </c>
    </row>
    <row r="11">
      <c r="B11" s="2" t="inlineStr">
        <is>
          <t>Two-year average (not used, income declining)</t>
        </is>
      </c>
      <c r="C11" s="13">
        <f>(C7+C8)/24</f>
        <v/>
      </c>
    </row>
    <row r="12">
      <c r="B12" s="2" t="inlineStr">
        <is>
          <t>Total qualifying income</t>
        </is>
      </c>
      <c r="C12" s="15">
        <f>C5+C6+C10</f>
        <v/>
      </c>
    </row>
    <row r="13">
      <c r="B13" s="2" t="inlineStr">
        <is>
          <t>Loan officer's income (two-year average, 2025 bonus alone)</t>
        </is>
      </c>
      <c r="C13" s="13">
        <f>C5+Inputs!$C$24/12+C11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6" customWidth="1" min="3" max="3"/>
    <col width="16" customWidth="1" min="4" max="4"/>
    <col width="16" customWidth="1" min="5" max="5"/>
  </cols>
  <sheetData>
    <row r="1" ht="10" customHeight="1"/>
    <row r="2">
      <c r="B2" s="1" t="inlineStr">
        <is>
          <t>Housing payment and debt-to-income ratio</t>
        </is>
      </c>
      <c r="C2" s="3" t="n"/>
      <c r="D2" s="3" t="n"/>
      <c r="E2" s="3" t="n"/>
    </row>
    <row r="4">
      <c r="B4" s="12" t="inlineStr">
        <is>
          <t>Line ($ a month)</t>
        </is>
      </c>
      <c r="C4" s="12" t="inlineStr">
        <is>
          <t>At application</t>
        </is>
      </c>
      <c r="D4" s="12" t="inlineStr">
        <is>
          <t>After price change</t>
        </is>
      </c>
      <c r="E4" s="12" t="inlineStr">
        <is>
          <t>After new debt</t>
        </is>
      </c>
    </row>
    <row r="5">
      <c r="B5" s="2" t="inlineStr">
        <is>
          <t>Price</t>
        </is>
      </c>
      <c r="C5" s="13">
        <f>Inputs!$C$6</f>
        <v/>
      </c>
      <c r="D5" s="13">
        <f>Inputs!$C$14</f>
        <v/>
      </c>
      <c r="E5" s="13">
        <f>Inputs!$C$14</f>
        <v/>
      </c>
    </row>
    <row r="6">
      <c r="B6" s="2" t="inlineStr">
        <is>
          <t>Loan amount</t>
        </is>
      </c>
      <c r="C6" s="13">
        <f>C5*Inputs!$C$7</f>
        <v/>
      </c>
      <c r="D6" s="13">
        <f>D5*Inputs!$C$7</f>
        <v/>
      </c>
      <c r="E6" s="13">
        <f>E5*Inputs!$C$7</f>
        <v/>
      </c>
    </row>
    <row r="7">
      <c r="B7" s="2" t="inlineStr">
        <is>
          <t>Principal and interest</t>
        </is>
      </c>
      <c r="C7" s="13">
        <f>ROUND(PMT(Inputs!$C$8/12,Inputs!$C$9,-C6),0)</f>
        <v/>
      </c>
      <c r="D7" s="13">
        <f>ROUND(PMT(Inputs!$C$8/12,Inputs!$C$9,-D6),0)</f>
        <v/>
      </c>
      <c r="E7" s="13">
        <f>ROUND(PMT(Inputs!$C$8/12,Inputs!$C$9,-E6),0)</f>
        <v/>
      </c>
    </row>
    <row r="8">
      <c r="B8" s="2" t="inlineStr">
        <is>
          <t>Mortgage insurance</t>
        </is>
      </c>
      <c r="C8" s="13">
        <f>ROUND(C6*Inputs!$C$10/12,0)</f>
        <v/>
      </c>
      <c r="D8" s="13">
        <f>ROUND(D6*Inputs!$C$10/12,0)</f>
        <v/>
      </c>
      <c r="E8" s="13">
        <f>ROUND(E6*Inputs!$C$10/12,0)</f>
        <v/>
      </c>
    </row>
    <row r="9">
      <c r="B9" s="2" t="inlineStr">
        <is>
          <t>Property tax</t>
        </is>
      </c>
      <c r="C9" s="13">
        <f>Inputs!$C$11</f>
        <v/>
      </c>
      <c r="D9" s="13">
        <f>Inputs!$C$11</f>
        <v/>
      </c>
      <c r="E9" s="13">
        <f>Inputs!$C$11</f>
        <v/>
      </c>
    </row>
    <row r="10">
      <c r="B10" s="2" t="inlineStr">
        <is>
          <t>Homeowners insurance</t>
        </is>
      </c>
      <c r="C10" s="13">
        <f>Inputs!$C$12</f>
        <v/>
      </c>
      <c r="D10" s="13">
        <f>Inputs!$C$12</f>
        <v/>
      </c>
      <c r="E10" s="13">
        <f>Inputs!$C$12</f>
        <v/>
      </c>
    </row>
    <row r="11">
      <c r="B11" s="2" t="inlineStr">
        <is>
          <t>PITI</t>
        </is>
      </c>
      <c r="C11" s="15">
        <f>SUM(C7:C10)</f>
        <v/>
      </c>
      <c r="D11" s="15">
        <f>SUM(D7:D10)</f>
        <v/>
      </c>
      <c r="E11" s="15">
        <f>SUM(E7:E10)</f>
        <v/>
      </c>
    </row>
    <row r="12">
      <c r="B12" s="2" t="inlineStr">
        <is>
          <t>Other debts</t>
        </is>
      </c>
      <c r="C12" s="13">
        <f>Inputs!$C$27+Inputs!$C$28+Inputs!$C$29</f>
        <v/>
      </c>
      <c r="D12" s="13">
        <f>Inputs!$C$27+Inputs!$C$28+Inputs!$C$29</f>
        <v/>
      </c>
      <c r="E12" s="13">
        <f>Inputs!$C$27+Inputs!$C$28+Inputs!$C$29+Inputs!$C$30</f>
        <v/>
      </c>
    </row>
    <row r="13">
      <c r="B13" s="2" t="inlineStr">
        <is>
          <t>Qualifying income</t>
        </is>
      </c>
      <c r="C13" s="13">
        <f>'Income'!$C$12</f>
        <v/>
      </c>
      <c r="D13" s="13">
        <f>'Income'!$C$12</f>
        <v/>
      </c>
      <c r="E13" s="13">
        <f>'Income'!$C$12</f>
        <v/>
      </c>
    </row>
    <row r="14">
      <c r="B14" s="2" t="inlineStr">
        <is>
          <t>Housing ratio</t>
        </is>
      </c>
      <c r="C14" s="14">
        <f>C11/C13</f>
        <v/>
      </c>
      <c r="D14" s="14">
        <f>D11/D13</f>
        <v/>
      </c>
      <c r="E14" s="14">
        <f>E11/E13</f>
        <v/>
      </c>
    </row>
    <row r="15">
      <c r="B15" s="2" t="inlineStr">
        <is>
          <t>Debt-to-income ratio</t>
        </is>
      </c>
      <c r="C15" s="16">
        <f>(C11+C12)/C13</f>
        <v/>
      </c>
      <c r="D15" s="16">
        <f>(D11+D12)/D13</f>
        <v/>
      </c>
      <c r="E15" s="16">
        <f>(E11+E12)/E13</f>
        <v/>
      </c>
    </row>
    <row r="16">
      <c r="B16" s="2" t="inlineStr">
        <is>
          <t>Loan officer's DTI (prequalification income)</t>
        </is>
      </c>
      <c r="C16" s="14">
        <f>(C11+C12)/'Income'!$C$13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</cols>
  <sheetData>
    <row r="1" ht="10" customHeight="1"/>
    <row r="2">
      <c r="B2" s="1" t="inlineStr">
        <is>
          <t>Funds to close, reserves and the large deposit</t>
        </is>
      </c>
      <c r="C2" s="3" t="n"/>
    </row>
    <row r="4">
      <c r="B4" s="12" t="inlineStr">
        <is>
          <t>Line</t>
        </is>
      </c>
      <c r="C4" s="12" t="inlineStr">
        <is>
          <t>$</t>
        </is>
      </c>
    </row>
    <row r="5">
      <c r="B5" s="2" t="inlineStr">
        <is>
          <t>Down payment (after the price change)</t>
        </is>
      </c>
      <c r="C5" s="13">
        <f>Inputs!$C$14-'Payment and DTI'!$D$6</f>
        <v/>
      </c>
    </row>
    <row r="6">
      <c r="B6" s="2" t="inlineStr">
        <is>
          <t>Closing costs and prepaids</t>
        </is>
      </c>
      <c r="C6" s="13">
        <f>Inputs!$C$37</f>
        <v/>
      </c>
    </row>
    <row r="7">
      <c r="B7" s="2" t="inlineStr">
        <is>
          <t>Funds needed</t>
        </is>
      </c>
      <c r="C7" s="15">
        <f>C5+C6</f>
        <v/>
      </c>
    </row>
    <row r="8">
      <c r="B8" s="2" t="inlineStr">
        <is>
          <t>Earnest money already paid</t>
        </is>
      </c>
      <c r="C8" s="13">
        <f>Inputs!$C$36</f>
        <v/>
      </c>
    </row>
    <row r="9">
      <c r="B9" s="2" t="inlineStr">
        <is>
          <t>Cash due at closing</t>
        </is>
      </c>
      <c r="C9" s="13">
        <f>C7-C8</f>
        <v/>
      </c>
    </row>
    <row r="10">
      <c r="B10" s="2" t="inlineStr">
        <is>
          <t>Verified liquid funds (checking, savings, gift)</t>
        </is>
      </c>
      <c r="C10" s="13">
        <f>Inputs!$C$33+Inputs!$C$34+Inputs!$C$35</f>
        <v/>
      </c>
    </row>
    <row r="11">
      <c r="B11" s="2" t="inlineStr">
        <is>
          <t>Funds left after closing</t>
        </is>
      </c>
      <c r="C11" s="15">
        <f>C10-C9</f>
        <v/>
      </c>
    </row>
    <row r="12">
      <c r="B12" s="2" t="inlineStr">
        <is>
          <t>Reserves required (months of PITI)</t>
        </is>
      </c>
      <c r="C12" s="13">
        <f>Inputs!$C$38*'Payment and DTI'!$D$11</f>
        <v/>
      </c>
    </row>
    <row r="13">
      <c r="B13" s="2" t="inlineStr">
        <is>
          <t>Reserves test</t>
        </is>
      </c>
      <c r="C13" s="2">
        <f>IF(C11&gt;=C12,"MET","SHORT")</f>
        <v/>
      </c>
    </row>
    <row r="14">
      <c r="B14" s="2" t="inlineStr">
        <is>
          <t>Large deposit threshold</t>
        </is>
      </c>
      <c r="C14" s="13">
        <f>Inputs!$C$40*'Income'!$C$12</f>
        <v/>
      </c>
    </row>
    <row r="15">
      <c r="B15" s="2" t="inlineStr">
        <is>
          <t>Is the deposit large?</t>
        </is>
      </c>
      <c r="C15" s="2">
        <f>IF(Inputs!$C$39&gt;C14,"YES","NO")</f>
        <v/>
      </c>
    </row>
    <row r="16">
      <c r="B16" s="2" t="inlineStr">
        <is>
          <t>Funds left if the deposit had stayed unsourced</t>
        </is>
      </c>
      <c r="C16" s="13">
        <f>C11-Inputs!$C$39</f>
        <v/>
      </c>
    </row>
    <row r="17">
      <c r="B17" s="2" t="inlineStr">
        <is>
          <t>Reserves test without the deposit</t>
        </is>
      </c>
      <c r="C17" s="2">
        <f>IF(C16&gt;=C12,"MET","SHORT")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</cols>
  <sheetData>
    <row r="1" ht="10" customHeight="1"/>
    <row r="2">
      <c r="B2" s="1" t="inlineStr">
        <is>
          <t>The appraisal</t>
        </is>
      </c>
      <c r="C2" s="3" t="n"/>
    </row>
    <row r="4">
      <c r="B4" s="12" t="inlineStr">
        <is>
          <t>Line</t>
        </is>
      </c>
      <c r="C4" s="12" t="inlineStr">
        <is>
          <t>Value</t>
        </is>
      </c>
    </row>
    <row r="5">
      <c r="B5" s="2" t="inlineStr">
        <is>
          <t>Contract price at application</t>
        </is>
      </c>
      <c r="C5" s="13">
        <f>Inputs!$C$6</f>
        <v/>
      </c>
    </row>
    <row r="6">
      <c r="B6" s="2" t="inlineStr">
        <is>
          <t>Appraised value</t>
        </is>
      </c>
      <c r="C6" s="13">
        <f>Inputs!$C$13</f>
        <v/>
      </c>
    </row>
    <row r="7">
      <c r="B7" s="2" t="inlineStr">
        <is>
          <t>Shortfall</t>
        </is>
      </c>
      <c r="C7" s="13">
        <f>C5-C6</f>
        <v/>
      </c>
    </row>
    <row r="8">
      <c r="B8" s="2" t="inlineStr">
        <is>
          <t>Loan at application</t>
        </is>
      </c>
      <c r="C8" s="13">
        <f>Inputs!$C$6*Inputs!$C$7</f>
        <v/>
      </c>
    </row>
    <row r="9">
      <c r="B9" s="2" t="inlineStr">
        <is>
          <t>LTV on the lower of price and value, loan unchanged</t>
        </is>
      </c>
      <c r="C9" s="14">
        <f>C8/MIN(C5,C6)</f>
        <v/>
      </c>
    </row>
    <row r="10">
      <c r="B10" s="2" t="inlineStr">
        <is>
          <t>Amended price</t>
        </is>
      </c>
      <c r="C10" s="13">
        <f>Inputs!$C$14</f>
        <v/>
      </c>
    </row>
    <row r="11">
      <c r="B11" s="2" t="inlineStr">
        <is>
          <t>New loan amount</t>
        </is>
      </c>
      <c r="C11" s="15">
        <f>C10*Inputs!$C$7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6" customWidth="1" min="3" max="3"/>
  </cols>
  <sheetData>
    <row r="1" ht="10" customHeight="1"/>
    <row r="2">
      <c r="B2" s="1" t="inlineStr">
        <is>
          <t>Five contrast files</t>
        </is>
      </c>
      <c r="C2" s="3" t="n"/>
    </row>
    <row r="4">
      <c r="B4" s="12" t="inlineStr">
        <is>
          <t>Line</t>
        </is>
      </c>
      <c r="C4" s="12" t="inlineStr">
        <is>
          <t>Value</t>
        </is>
      </c>
    </row>
    <row r="5">
      <c r="B5" s="2" t="inlineStr">
        <is>
          <t>FHA: base loan</t>
        </is>
      </c>
      <c r="C5" s="13">
        <f>Inputs!$C$43*(1-Inputs!$C$44)</f>
        <v/>
      </c>
    </row>
    <row r="6">
      <c r="B6" s="2" t="inlineStr">
        <is>
          <t>FHA: upfront MIP financed</t>
        </is>
      </c>
      <c r="C6" s="13">
        <f>C5*Inputs!$C$45</f>
        <v/>
      </c>
    </row>
    <row r="7">
      <c r="B7" s="2" t="inlineStr">
        <is>
          <t>FHA: total loan (rounded down)</t>
        </is>
      </c>
      <c r="C7" s="13">
        <f>INT(C5+C6)</f>
        <v/>
      </c>
    </row>
    <row r="8">
      <c r="B8" s="2" t="inlineStr">
        <is>
          <t>FHA: principal and interest</t>
        </is>
      </c>
      <c r="C8" s="13">
        <f>ROUND(PMT(Inputs!$C$47/12,360,-C7),0)</f>
        <v/>
      </c>
    </row>
    <row r="9">
      <c r="B9" s="2" t="inlineStr">
        <is>
          <t>FHA: monthly MIP, first year</t>
        </is>
      </c>
      <c r="C9" s="13">
        <f>ROUND(C5*Inputs!$C$46/12,0)</f>
        <v/>
      </c>
    </row>
    <row r="10">
      <c r="B10" s="2" t="inlineStr">
        <is>
          <t>FHA: PITI</t>
        </is>
      </c>
      <c r="C10" s="13">
        <f>C8+C9+Inputs!$C$48+Inputs!$C$49</f>
        <v/>
      </c>
    </row>
    <row r="11">
      <c r="B11" s="2" t="inlineStr">
        <is>
          <t>FHA: housing ratio</t>
        </is>
      </c>
      <c r="C11" s="14">
        <f>C10/Inputs!$C$50</f>
        <v/>
      </c>
    </row>
    <row r="12">
      <c r="B12" s="2" t="inlineStr">
        <is>
          <t>FHA: debt-to-income ratio</t>
        </is>
      </c>
      <c r="C12" s="16">
        <f>(C10+Inputs!$C$51)/Inputs!$C$50</f>
        <v/>
      </c>
    </row>
    <row r="13">
      <c r="B13" s="2" t="inlineStr">
        <is>
          <t>VA: funding fee financed</t>
        </is>
      </c>
      <c r="C13" s="13">
        <f>Inputs!$C$52*Inputs!$C$53</f>
        <v/>
      </c>
    </row>
    <row r="14">
      <c r="B14" s="2" t="inlineStr">
        <is>
          <t>VA: total loan</t>
        </is>
      </c>
      <c r="C14" s="13">
        <f>INT(Inputs!$C$52+C13)</f>
        <v/>
      </c>
    </row>
    <row r="15">
      <c r="B15" s="2" t="inlineStr">
        <is>
          <t>VA: principal and interest</t>
        </is>
      </c>
      <c r="C15" s="13">
        <f>ROUND(PMT(Inputs!$C$54/12,360,-C14),0)</f>
        <v/>
      </c>
    </row>
    <row r="16">
      <c r="B16" s="2" t="inlineStr">
        <is>
          <t>VA: PITI</t>
        </is>
      </c>
      <c r="C16" s="13">
        <f>C15+Inputs!$C$55+Inputs!$C$56</f>
        <v/>
      </c>
    </row>
    <row r="17">
      <c r="B17" s="2" t="inlineStr">
        <is>
          <t>VA: debt-to-income ratio</t>
        </is>
      </c>
      <c r="C17" s="16">
        <f>(C16+Inputs!$C$58)/Inputs!$C$57</f>
        <v/>
      </c>
    </row>
    <row r="18">
      <c r="B18" s="2" t="inlineStr">
        <is>
          <t>Jumbo: loan</t>
        </is>
      </c>
      <c r="C18" s="13">
        <f>Inputs!$C$59*Inputs!$C$60</f>
        <v/>
      </c>
    </row>
    <row r="19">
      <c r="B19" s="2" t="inlineStr">
        <is>
          <t>Jumbo: amount above the baseline conforming limit</t>
        </is>
      </c>
      <c r="C19" s="13">
        <f>C18-Inputs!$C$61</f>
        <v/>
      </c>
    </row>
    <row r="20">
      <c r="B20" s="2" t="inlineStr">
        <is>
          <t>Jumbo: principal and interest</t>
        </is>
      </c>
      <c r="C20" s="13">
        <f>ROUND(PMT(Inputs!$C$62/12,360,-C18),0)</f>
        <v/>
      </c>
    </row>
    <row r="21">
      <c r="B21" s="2" t="inlineStr">
        <is>
          <t>Jumbo: PITI</t>
        </is>
      </c>
      <c r="C21" s="13">
        <f>C20+Inputs!$C$63+Inputs!$C$64</f>
        <v/>
      </c>
    </row>
    <row r="22">
      <c r="B22" s="2" t="inlineStr">
        <is>
          <t>Jumbo: debt-to-income ratio</t>
        </is>
      </c>
      <c r="C22" s="16">
        <f>(C21+Inputs!$C$66)/Inputs!$C$65</f>
        <v/>
      </c>
    </row>
    <row r="23">
      <c r="B23" s="2" t="inlineStr">
        <is>
          <t>Jumbo: reserves required</t>
        </is>
      </c>
      <c r="C23" s="13">
        <f>Inputs!$C$67*C21</f>
        <v/>
      </c>
    </row>
    <row r="24">
      <c r="B24" s="2" t="inlineStr">
        <is>
          <t>Bank statement: qualifying income a month</t>
        </is>
      </c>
      <c r="C24" s="13">
        <f>Inputs!$C$68*(1-Inputs!$C$69)/12</f>
        <v/>
      </c>
    </row>
    <row r="25">
      <c r="B25" s="2" t="inlineStr">
        <is>
          <t>Bank statement: loan-to-value</t>
        </is>
      </c>
      <c r="C25" s="14">
        <f>Inputs!$C$71/Inputs!$C$70</f>
        <v/>
      </c>
    </row>
    <row r="26">
      <c r="B26" s="2" t="inlineStr">
        <is>
          <t>Bank statement: principal and interest</t>
        </is>
      </c>
      <c r="C26" s="13">
        <f>ROUND(PMT(Inputs!$C$72/12,360,-Inputs!$C$71),0)</f>
        <v/>
      </c>
    </row>
    <row r="27">
      <c r="B27" s="2" t="inlineStr">
        <is>
          <t>Bank statement: PITI</t>
        </is>
      </c>
      <c r="C27" s="13">
        <f>C26+Inputs!$C$73+Inputs!$C$74</f>
        <v/>
      </c>
    </row>
    <row r="28">
      <c r="B28" s="2" t="inlineStr">
        <is>
          <t>Bank statement: debt-to-income ratio</t>
        </is>
      </c>
      <c r="C28" s="16">
        <f>(C27+Inputs!$C$75)/C24</f>
        <v/>
      </c>
    </row>
    <row r="29">
      <c r="B29" s="2" t="inlineStr">
        <is>
          <t>DSCR: loan</t>
        </is>
      </c>
      <c r="C29" s="13">
        <f>Inputs!$C$76*Inputs!$C$77</f>
        <v/>
      </c>
    </row>
    <row r="30">
      <c r="B30" s="2" t="inlineStr">
        <is>
          <t>DSCR: principal and interest</t>
        </is>
      </c>
      <c r="C30" s="13">
        <f>ROUND(PMT(Inputs!$C$78/12,360,-C29),0)</f>
        <v/>
      </c>
    </row>
    <row r="31">
      <c r="B31" s="2" t="inlineStr">
        <is>
          <t>DSCR: PITIA</t>
        </is>
      </c>
      <c r="C31" s="13">
        <f>C30+Inputs!$C$79+Inputs!$C$80</f>
        <v/>
      </c>
    </row>
    <row r="32">
      <c r="B32" s="2" t="inlineStr">
        <is>
          <t>DSCR: debt service coverage ratio</t>
        </is>
      </c>
      <c r="C32" s="17">
        <f>Inputs!$C$81/C31</f>
        <v/>
      </c>
    </row>
    <row r="33">
      <c r="B33" s="2" t="inlineStr">
        <is>
          <t>DSCR: meets the investor minimum?</t>
        </is>
      </c>
      <c r="C33" s="2">
        <f>IF(C32&gt;=Inputs!$C$82,"YES","NO")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C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6" customWidth="1" min="3" max="3"/>
  </cols>
  <sheetData>
    <row r="1" ht="10" customHeight="1"/>
    <row r="2">
      <c r="B2" s="1" t="inlineStr">
        <is>
          <t>Quality control and the repurchase</t>
        </is>
      </c>
      <c r="C2" s="3" t="n"/>
    </row>
    <row r="4">
      <c r="B4" s="12" t="inlineStr">
        <is>
          <t>Line</t>
        </is>
      </c>
      <c r="C4" s="12" t="inlineStr">
        <is>
          <t>Value</t>
        </is>
      </c>
    </row>
    <row r="5">
      <c r="B5" s="2" t="inlineStr">
        <is>
          <t>Significant defect rate 2025</t>
        </is>
      </c>
      <c r="C5" s="14">
        <f>Inputs!$C$86/Inputs!$C$85</f>
        <v/>
      </c>
    </row>
    <row r="6">
      <c r="B6" s="2" t="inlineStr">
        <is>
          <t>Repurchase: unpaid balance</t>
        </is>
      </c>
      <c r="C6" s="13">
        <f>Inputs!$C$87</f>
        <v/>
      </c>
    </row>
    <row r="7">
      <c r="B7" s="2" t="inlineStr">
        <is>
          <t>Repurchase: resale proceeds</t>
        </is>
      </c>
      <c r="C7" s="13">
        <f>Inputs!$C$87*Inputs!$C$88</f>
        <v/>
      </c>
    </row>
    <row r="8">
      <c r="B8" s="2" t="inlineStr">
        <is>
          <t>Repurchase: loss</t>
        </is>
      </c>
      <c r="C8" s="15">
        <f>C6-C7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E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the book's figures against the workbook</t>
        </is>
      </c>
      <c r="C2" s="3" t="n"/>
      <c r="D2" s="3" t="n"/>
      <c r="E2" s="3" t="n"/>
    </row>
    <row r="4">
      <c r="B4" s="12" t="inlineStr">
        <is>
          <t>Figure printed in the book</t>
        </is>
      </c>
      <c r="C4" s="12" t="inlineStr">
        <is>
          <t>Book</t>
        </is>
      </c>
      <c r="D4" s="12" t="inlineStr">
        <is>
          <t>Workbook</t>
        </is>
      </c>
      <c r="E4" s="12" t="inlineStr">
        <is>
          <t>Check</t>
        </is>
      </c>
    </row>
    <row r="5">
      <c r="B5" s="2" t="inlineStr">
        <is>
          <t>Total qualifying income ($ a month)</t>
        </is>
      </c>
      <c r="C5" s="18" t="n">
        <v>12258</v>
      </c>
      <c r="D5" s="18">
        <f>'Income'!$C$12</f>
        <v/>
      </c>
      <c r="E5" s="2">
        <f>IF(ABS(D5-C5)&lt;=0.5,"OK","CHECK")</f>
        <v/>
      </c>
    </row>
    <row r="6">
      <c r="B6" s="2" t="inlineStr">
        <is>
          <t>Bonus average ($ a month)</t>
        </is>
      </c>
      <c r="C6" s="18" t="n">
        <v>625</v>
      </c>
      <c r="D6" s="18">
        <f>'Income'!$C$6</f>
        <v/>
      </c>
      <c r="E6" s="2">
        <f>IF(ABS(D6-C6)&lt;=0.5,"OK","CHECK")</f>
        <v/>
      </c>
    </row>
    <row r="7">
      <c r="B7" s="2" t="inlineStr">
        <is>
          <t>Self-employed income used ($ a month)</t>
        </is>
      </c>
      <c r="C7" s="18" t="n">
        <v>3833</v>
      </c>
      <c r="D7" s="18">
        <f>'Income'!$C$10</f>
        <v/>
      </c>
      <c r="E7" s="2">
        <f>IF(ABS(D7-C7)&lt;=0.5,"OK","CHECK")</f>
        <v/>
      </c>
    </row>
    <row r="8">
      <c r="B8" s="2" t="inlineStr">
        <is>
          <t>Two-year average ($ a month)</t>
        </is>
      </c>
      <c r="C8" s="18" t="n">
        <v>4083</v>
      </c>
      <c r="D8" s="18">
        <f>'Income'!$C$11</f>
        <v/>
      </c>
      <c r="E8" s="2">
        <f>IF(ABS(D8-C8)&lt;=0.5,"OK","CHECK")</f>
        <v/>
      </c>
    </row>
    <row r="9">
      <c r="B9" s="2" t="inlineStr">
        <is>
          <t>Decline of self-employed income</t>
        </is>
      </c>
      <c r="C9" s="18" t="n">
        <v>0.12</v>
      </c>
      <c r="D9" s="18">
        <f>'Income'!$C$9</f>
        <v/>
      </c>
      <c r="E9" s="2">
        <f>IF(ABS(D9-C9)&lt;=0.005,"OK","CHECK")</f>
        <v/>
      </c>
    </row>
    <row r="10">
      <c r="B10" s="2" t="inlineStr">
        <is>
          <t>Loan officer's income ($ a month)</t>
        </is>
      </c>
      <c r="C10" s="18" t="n">
        <v>12633</v>
      </c>
      <c r="D10" s="18">
        <f>'Income'!$C$13</f>
        <v/>
      </c>
      <c r="E10" s="2">
        <f>IF(ABS(D10-C10)&lt;=0.5,"OK","CHECK")</f>
        <v/>
      </c>
    </row>
    <row r="11">
      <c r="B11" s="2" t="inlineStr">
        <is>
          <t>Principal and interest at application</t>
        </is>
      </c>
      <c r="C11" s="18" t="n">
        <v>2904</v>
      </c>
      <c r="D11" s="18">
        <f>'Payment and DTI'!$C$7</f>
        <v/>
      </c>
      <c r="E11" s="2">
        <f>IF(ABS(D11-C11)&lt;=0.5,"OK","CHECK")</f>
        <v/>
      </c>
    </row>
    <row r="12">
      <c r="B12" s="2" t="inlineStr">
        <is>
          <t>PITI at application</t>
        </is>
      </c>
      <c r="C12" s="18" t="n">
        <v>3807</v>
      </c>
      <c r="D12" s="18">
        <f>'Payment and DTI'!$C$11</f>
        <v/>
      </c>
      <c r="E12" s="2">
        <f>IF(ABS(D12-C12)&lt;=0.5,"OK","CHECK")</f>
        <v/>
      </c>
    </row>
    <row r="13">
      <c r="B13" s="2" t="inlineStr">
        <is>
          <t>PITI after the price change</t>
        </is>
      </c>
      <c r="C13" s="18" t="n">
        <v>3762</v>
      </c>
      <c r="D13" s="18">
        <f>'Payment and DTI'!$D$11</f>
        <v/>
      </c>
      <c r="E13" s="2">
        <f>IF(ABS(D13-C13)&lt;=0.5,"OK","CHECK")</f>
        <v/>
      </c>
    </row>
    <row r="14">
      <c r="B14" s="2" t="inlineStr">
        <is>
          <t>Housing ratio at application</t>
        </is>
      </c>
      <c r="C14" s="18" t="n">
        <v>0.311</v>
      </c>
      <c r="D14" s="18">
        <f>'Payment and DTI'!$C$14</f>
        <v/>
      </c>
      <c r="E14" s="2">
        <f>IF(ABS(D14-C14)&lt;=0.0005,"OK","CHECK")</f>
        <v/>
      </c>
    </row>
    <row r="15">
      <c r="B15" s="2" t="inlineStr">
        <is>
          <t>DTI at application</t>
        </is>
      </c>
      <c r="C15" s="18" t="n">
        <v>0.383</v>
      </c>
      <c r="D15" s="18">
        <f>'Payment and DTI'!$C$15</f>
        <v/>
      </c>
      <c r="E15" s="2">
        <f>IF(ABS(D15-C15)&lt;=0.0005,"OK","CHECK")</f>
        <v/>
      </c>
    </row>
    <row r="16">
      <c r="B16" s="2" t="inlineStr">
        <is>
          <t>DTI after the price change</t>
        </is>
      </c>
      <c r="C16" s="18" t="n">
        <v>0.38</v>
      </c>
      <c r="D16" s="18">
        <f>'Payment and DTI'!$D$15</f>
        <v/>
      </c>
      <c r="E16" s="2">
        <f>IF(ABS(D16-C16)&lt;=0.0005,"OK","CHECK")</f>
        <v/>
      </c>
    </row>
    <row r="17">
      <c r="B17" s="2" t="inlineStr">
        <is>
          <t>DTI after the new debt (final)</t>
        </is>
      </c>
      <c r="C17" s="18" t="n">
        <v>0.394</v>
      </c>
      <c r="D17" s="18">
        <f>'Payment and DTI'!$E$15</f>
        <v/>
      </c>
      <c r="E17" s="2">
        <f>IF(ABS(D17-C17)&lt;=0.0005,"OK","CHECK")</f>
        <v/>
      </c>
    </row>
    <row r="18">
      <c r="B18" s="2" t="inlineStr">
        <is>
          <t>Loan officer's DTI</t>
        </is>
      </c>
      <c r="C18" s="18" t="n">
        <v>0.372</v>
      </c>
      <c r="D18" s="18">
        <f>'Payment and DTI'!$C$16</f>
        <v/>
      </c>
      <c r="E18" s="2">
        <f>IF(ABS(D18-C18)&lt;=0.0005,"OK","CHECK")</f>
        <v/>
      </c>
    </row>
    <row r="19">
      <c r="B19" s="2" t="inlineStr">
        <is>
          <t>Funds needed</t>
        </is>
      </c>
      <c r="C19" s="18" t="n">
        <v>60700</v>
      </c>
      <c r="D19" s="18">
        <f>'Assets'!$C$7</f>
        <v/>
      </c>
      <c r="E19" s="2">
        <f>IF(ABS(D19-C19)&lt;=0.5,"OK","CHECK")</f>
        <v/>
      </c>
    </row>
    <row r="20">
      <c r="B20" s="2" t="inlineStr">
        <is>
          <t>Cash due at closing</t>
        </is>
      </c>
      <c r="C20" s="18" t="n">
        <v>55700</v>
      </c>
      <c r="D20" s="18">
        <f>'Assets'!$C$9</f>
        <v/>
      </c>
      <c r="E20" s="2">
        <f>IF(ABS(D20-C20)&lt;=0.5,"OK","CHECK")</f>
        <v/>
      </c>
    </row>
    <row r="21">
      <c r="B21" s="2" t="inlineStr">
        <is>
          <t>Funds left after closing</t>
        </is>
      </c>
      <c r="C21" s="18" t="n">
        <v>10300</v>
      </c>
      <c r="D21" s="18">
        <f>'Assets'!$C$11</f>
        <v/>
      </c>
      <c r="E21" s="2">
        <f>IF(ABS(D21-C21)&lt;=0.5,"OK","CHECK")</f>
        <v/>
      </c>
    </row>
    <row r="22">
      <c r="B22" s="2" t="inlineStr">
        <is>
          <t>Reserves required</t>
        </is>
      </c>
      <c r="C22" s="18" t="n">
        <v>7524</v>
      </c>
      <c r="D22" s="18">
        <f>'Assets'!$C$12</f>
        <v/>
      </c>
      <c r="E22" s="2">
        <f>IF(ABS(D22-C22)&lt;=0.5,"OK","CHECK")</f>
        <v/>
      </c>
    </row>
    <row r="23">
      <c r="B23" s="2" t="inlineStr">
        <is>
          <t>Large deposit threshold</t>
        </is>
      </c>
      <c r="C23" s="18" t="n">
        <v>6129</v>
      </c>
      <c r="D23" s="18">
        <f>'Assets'!$C$14</f>
        <v/>
      </c>
      <c r="E23" s="2">
        <f>IF(ABS(D23-C23)&lt;=0.5,"OK","CHECK")</f>
        <v/>
      </c>
    </row>
    <row r="24">
      <c r="B24" s="2" t="inlineStr">
        <is>
          <t>Funds left if the deposit stayed unsourced</t>
        </is>
      </c>
      <c r="C24" s="18" t="n">
        <v>900</v>
      </c>
      <c r="D24" s="18">
        <f>'Assets'!$C$16</f>
        <v/>
      </c>
      <c r="E24" s="2">
        <f>IF(ABS(D24-C24)&lt;=0.5,"OK","CHECK")</f>
        <v/>
      </c>
    </row>
    <row r="25">
      <c r="B25" s="2" t="inlineStr">
        <is>
          <t>Appraisal shortfall</t>
        </is>
      </c>
      <c r="C25" s="18" t="n">
        <v>7000</v>
      </c>
      <c r="D25" s="18">
        <f>'Collateral'!$C$7</f>
        <v/>
      </c>
      <c r="E25" s="2">
        <f>IF(ABS(D25-C25)&lt;=0.5,"OK","CHECK")</f>
        <v/>
      </c>
    </row>
    <row r="26">
      <c r="B26" s="2" t="inlineStr">
        <is>
          <t>LTV on the appraised value, loan unchanged</t>
        </is>
      </c>
      <c r="C26" s="18" t="n">
        <v>0.913</v>
      </c>
      <c r="D26" s="18">
        <f>'Collateral'!$C$9</f>
        <v/>
      </c>
      <c r="E26" s="2">
        <f>IF(ABS(D26-C26)&lt;=0.0005,"OK","CHECK")</f>
        <v/>
      </c>
    </row>
    <row r="27">
      <c r="B27" s="2" t="inlineStr">
        <is>
          <t>New loan amount</t>
        </is>
      </c>
      <c r="C27" s="18" t="n">
        <v>430200</v>
      </c>
      <c r="D27" s="18">
        <f>'Collateral'!$C$11</f>
        <v/>
      </c>
      <c r="E27" s="2">
        <f>IF(ABS(D27-C27)&lt;=0.5,"OK","CHECK")</f>
        <v/>
      </c>
    </row>
    <row r="28">
      <c r="B28" s="2" t="inlineStr">
        <is>
          <t>FHA total loan</t>
        </is>
      </c>
      <c r="C28" s="18" t="n">
        <v>304385</v>
      </c>
      <c r="D28" s="18">
        <f>'Contrast Files'!$C$7</f>
        <v/>
      </c>
      <c r="E28" s="2">
        <f>IF(ABS(D28-C28)&lt;=0.5,"OK","CHECK")</f>
        <v/>
      </c>
    </row>
    <row r="29">
      <c r="B29" s="2" t="inlineStr">
        <is>
          <t>FHA debt-to-income ratio</t>
        </is>
      </c>
      <c r="C29" s="18" t="n">
        <v>0.451</v>
      </c>
      <c r="D29" s="18">
        <f>'Contrast Files'!$C$12</f>
        <v/>
      </c>
      <c r="E29" s="2">
        <f>IF(ABS(D29-C29)&lt;=0.0005,"OK","CHECK")</f>
        <v/>
      </c>
    </row>
    <row r="30">
      <c r="B30" s="2" t="inlineStr">
        <is>
          <t>VA total loan</t>
        </is>
      </c>
      <c r="C30" s="18" t="n">
        <v>372847</v>
      </c>
      <c r="D30" s="18">
        <f>'Contrast Files'!$C$14</f>
        <v/>
      </c>
      <c r="E30" s="2">
        <f>IF(ABS(D30-C30)&lt;=0.5,"OK","CHECK")</f>
        <v/>
      </c>
    </row>
    <row r="31">
      <c r="B31" s="2" t="inlineStr">
        <is>
          <t>VA debt-to-income ratio</t>
        </is>
      </c>
      <c r="C31" s="18" t="n">
        <v>0.419</v>
      </c>
      <c r="D31" s="18">
        <f>'Contrast Files'!$C$17</f>
        <v/>
      </c>
      <c r="E31" s="2">
        <f>IF(ABS(D31-C31)&lt;=0.0005,"OK","CHECK")</f>
        <v/>
      </c>
    </row>
    <row r="32">
      <c r="B32" s="2" t="inlineStr">
        <is>
          <t>Jumbo PITI</t>
        </is>
      </c>
      <c r="C32" s="18" t="n">
        <v>9520</v>
      </c>
      <c r="D32" s="18">
        <f>'Contrast Files'!$C$21</f>
        <v/>
      </c>
      <c r="E32" s="2">
        <f>IF(ABS(D32-C32)&lt;=0.5,"OK","CHECK")</f>
        <v/>
      </c>
    </row>
    <row r="33">
      <c r="B33" s="2" t="inlineStr">
        <is>
          <t>Jumbo debt-to-income ratio</t>
        </is>
      </c>
      <c r="C33" s="18" t="n">
        <v>0.368</v>
      </c>
      <c r="D33" s="18">
        <f>'Contrast Files'!$C$22</f>
        <v/>
      </c>
      <c r="E33" s="2">
        <f>IF(ABS(D33-C33)&lt;=0.0005,"OK","CHECK")</f>
        <v/>
      </c>
    </row>
    <row r="34">
      <c r="B34" s="2" t="inlineStr">
        <is>
          <t>Jumbo reserves required</t>
        </is>
      </c>
      <c r="C34" s="18" t="n">
        <v>114240</v>
      </c>
      <c r="D34" s="18">
        <f>'Contrast Files'!$C$23</f>
        <v/>
      </c>
      <c r="E34" s="2">
        <f>IF(ABS(D34-C34)&lt;=0.5,"OK","CHECK")</f>
        <v/>
      </c>
    </row>
    <row r="35">
      <c r="B35" s="2" t="inlineStr">
        <is>
          <t>Bank statement qualifying income</t>
        </is>
      </c>
      <c r="C35" s="18" t="n">
        <v>20250</v>
      </c>
      <c r="D35" s="18">
        <f>'Contrast Files'!$C$24</f>
        <v/>
      </c>
      <c r="E35" s="2">
        <f>IF(ABS(D35-C35)&lt;=0.5,"OK","CHECK")</f>
        <v/>
      </c>
    </row>
    <row r="36">
      <c r="B36" s="2" t="inlineStr">
        <is>
          <t>Bank statement DTI</t>
        </is>
      </c>
      <c r="C36" s="18" t="n">
        <v>0.303</v>
      </c>
      <c r="D36" s="18">
        <f>'Contrast Files'!$C$28</f>
        <v/>
      </c>
      <c r="E36" s="2">
        <f>IF(ABS(D36-C36)&lt;=0.0005,"OK","CHECK")</f>
        <v/>
      </c>
    </row>
    <row r="37">
      <c r="B37" s="2" t="inlineStr">
        <is>
          <t>DSCR PITIA</t>
        </is>
      </c>
      <c r="C37" s="18" t="n">
        <v>1789</v>
      </c>
      <c r="D37" s="18">
        <f>'Contrast Files'!$C$31</f>
        <v/>
      </c>
      <c r="E37" s="2">
        <f>IF(ABS(D37-C37)&lt;=0.5,"OK","CHECK")</f>
        <v/>
      </c>
    </row>
    <row r="38">
      <c r="B38" s="2" t="inlineStr">
        <is>
          <t>DSCR</t>
        </is>
      </c>
      <c r="C38" s="18" t="n">
        <v>1.2</v>
      </c>
      <c r="D38" s="18">
        <f>'Contrast Files'!$C$32</f>
        <v/>
      </c>
      <c r="E38" s="2">
        <f>IF(ABS(D38-C38)&lt;=0.005,"OK","CHECK")</f>
        <v/>
      </c>
    </row>
    <row r="39">
      <c r="B39" s="2" t="inlineStr">
        <is>
          <t>QC significant defect rate</t>
        </is>
      </c>
      <c r="C39" s="18" t="n">
        <v>0.029</v>
      </c>
      <c r="D39" s="18">
        <f>'QC and Repurchase'!$C$5</f>
        <v/>
      </c>
      <c r="E39" s="2">
        <f>IF(ABS(D39-C39)&lt;=0.0005,"OK","CHECK")</f>
        <v/>
      </c>
    </row>
    <row r="40">
      <c r="B40" s="2" t="inlineStr">
        <is>
          <t>Repurchase loss</t>
        </is>
      </c>
      <c r="C40" s="18" t="n">
        <v>26784</v>
      </c>
      <c r="D40" s="18">
        <f>'QC and Repurchase'!$C$8</f>
        <v/>
      </c>
      <c r="E40" s="2">
        <f>IF(ABS(D40-C40)&lt;=0.5,"OK","CHECK")</f>
        <v/>
      </c>
    </row>
    <row r="42">
      <c r="B42" s="19" t="inlineStr">
        <is>
          <t>Result</t>
        </is>
      </c>
      <c r="D42" s="19">
        <f>IF(COUNTIF(E5:E40,"OK")=36,"ALL CHECKS OK","SOME CHECKS FAIL")</f>
        <v/>
      </c>
    </row>
    <row r="43">
      <c r="B43" s="2" t="inlineStr">
        <is>
          <t>The checks hold on the default inputs. Change an input and the Book column stays as printed, so the check flags what moved.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2026-10-16T05:39:33Z</dcterms:created>
  <dcterms:modified xmlns:dcterms="http://purl.org/dc/terms/" xmlns:xsi="http://www.w3.org/2001/XMLSchema-instance" xsi:type="dcterms:W3CDTF">2026-10-16T05:39:33Z</dcterms:modified>
</cp:coreProperties>
</file>