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NOI Bridge" sheetId="2" state="visible" r:id="rId4"/>
    <sheet name="Rent Roll" sheetId="3" state="visible" r:id="rId5"/>
    <sheet name="Yield on Cost" sheetId="4" state="visible" r:id="rId6"/>
    <sheet name="Exit Sensitivity" sheetId="5" state="visible" r:id="rId7"/>
    <sheet name="Scenarios" sheetId="6" state="visible" r:id="rId8"/>
    <sheet name="IC Checklist" sheetId="7" state="visible" r:id="rId9"/>
    <sheet name="Checks"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<sst xmlns="http://schemas.openxmlformats.org/spreadsheetml/2006/main" count="476" uniqueCount="385">
  <si>
    <t xml:space="preserve">Real Estate Fund Management — Underwriting and Exit Sensitivity</t>
  </si>
  <si>
    <t xml:space="preserve">Companion workbook to Chapter 8 (Underwriting Discipline) of "Real Estate Fund Management" by Julian R. Sterling. Free, ungated, and yours to reuse.</t>
  </si>
  <si>
    <t xml:space="preserve">What is in here</t>
  </si>
  <si>
    <t xml:space="preserve">NOI Bridge</t>
  </si>
  <si>
    <t xml:space="preserve">      Takes a trailing-twelve statement to an underwritten NOI through the four quality tests in 8.2, and scores the result on the six-criterion rubric the section describes. The score is not decoration: it feeds a suggested yield premium.</t>
  </si>
  <si>
    <t xml:space="preserve">Rent Roll</t>
  </si>
  <si>
    <t xml:space="preserve">      A tenant-level roll-up that answers the four questions in 8.3 — what is contractual, what is at risk, what is the mark-to-market, and when does it all expire. It separates leased occupancy from operating occupancy, which is the whole point of the "phantom occupancy" case in that section.</t>
  </si>
  <si>
    <t xml:space="preserve">Yield on Cost</t>
  </si>
  <si>
    <t xml:space="preserve">      The industrial build-to-core example in 8.7, live: $80M of cost, $5.6M of stabilised NOI, a 7.0% yield on cost against a 5.75% market cap and roughly $97.4M of implied value. The cost-overrun row is the point the section makes next.</t>
  </si>
  <si>
    <t xml:space="preserve">Exit Sensitivity</t>
  </si>
  <si>
    <t xml:space="preserve">      The two-dimensional grid 8.8 asks for: exit cap across the columns, exit NOI down the rows. Plus a levered IRR strip with its cash flows shown, because a grid of IRRs with no visible cash flow is exactly the opacity 8.13 warns about.</t>
  </si>
  <si>
    <t xml:space="preserve">Scenarios</t>
  </si>
  <si>
    <t xml:space="preserve">      Base, upside and downside built to the office repositioning case in 8.9 — the one where the downside is twelve months of extra lease-up, TI/LC up 15%, two flat rent years and 75bps of cap expansion, rather than 50bps off rent growth.</t>
  </si>
  <si>
    <t xml:space="preserve">IC Checklist</t>
  </si>
  <si>
    <t xml:space="preserve">      The thirty-item pre-IC gate from 8.15 and the nine LP red flags from 8.16, as a working document with an owner, a status and a progress roll-up.</t>
  </si>
  <si>
    <t xml:space="preserve">Checks</t>
  </si>
  <si>
    <t xml:space="preserve">      Every figure the chapter prints, against what this workbook computes.</t>
  </si>
  <si>
    <t xml:space="preserve">Conventions</t>
  </si>
  <si>
    <t xml:space="preserve">Blue on yellow is an input. Black is a formula. Nothing is hard-coded to force a result — this is the "no hard-coded constants inside formulas" rule from item 3 of the 8.15 checklist, applied to the workbook that carries the checklist.</t>
  </si>
  <si>
    <t xml:space="preserve">The worked deal used across the Yield on Cost, Exit Sensitivity and Scenarios sheets is the $80M industrial build-to-core from 8.7. The capital stack, hold period and operating assumptions attached to it are an illustrative extension — the section itself gives only cost, NOI and cap rate. Every added assumption sits in its own visible input cell.</t>
  </si>
  <si>
    <t xml:space="preserve">Source: Real Estate Fund Management, Chapter 8. All figures in US dollars.</t>
  </si>
  <si>
    <t xml:space="preserve">From trailing twelve to underwritten NOI</t>
  </si>
  <si>
    <t xml:space="preserve">Section 8.2: "not all NOI is equal". The adjustments below are the four tests it sets out — contractual versus discretionary income, collectibility and concentration, expense realism, and recurring versus non-recurring. Enter the T-12 in the blue column and the adjustment you can defend in the next one.</t>
  </si>
  <si>
    <t xml:space="preserve">Revenue</t>
  </si>
  <si>
    <t xml:space="preserve">Line</t>
  </si>
  <si>
    <t xml:space="preserve">T-12 actual</t>
  </si>
  <si>
    <t xml:space="preserve">Adjustment</t>
  </si>
  <si>
    <t xml:space="preserve">Underwritten</t>
  </si>
  <si>
    <t xml:space="preserve">Why the adjustment (this is what IC reads)</t>
  </si>
  <si>
    <t xml:space="preserve">Base rent — executed leases</t>
  </si>
  <si>
    <t xml:space="preserve">Contractual. Ties to the rent roll; see the Rent Roll sheet.</t>
  </si>
  <si>
    <t xml:space="preserve">Rent steps contracted in year 1</t>
  </si>
  <si>
    <t xml:space="preserve">Contractual increases already signed. Add them; do not forecast them.</t>
  </si>
  <si>
    <t xml:space="preserve">Expense reimbursements</t>
  </si>
  <si>
    <t xml:space="preserve">NNN rarely means everything. Reduced for the exclusions found in the lease audit.</t>
  </si>
  <si>
    <t xml:space="preserve">Percentage rent</t>
  </si>
  <si>
    <t xml:space="preserve">Discretionary and sales-linked. Underwritten at zero unless three years of history support it.</t>
  </si>
  <si>
    <t xml:space="preserve">Parking, storage and other income</t>
  </si>
  <si>
    <t xml:space="preserve">Month-to-month and fee income. Haircut to the durable portion.</t>
  </si>
  <si>
    <t xml:space="preserve">One-time and event income</t>
  </si>
  <si>
    <t xml:space="preserve">Non-recurring by definition. Removed.</t>
  </si>
  <si>
    <t xml:space="preserve">Vacancy and credit loss</t>
  </si>
  <si>
    <t xml:space="preserve">Market vacancy plus a credit loss reflecting the A/R ageing, not the T-12 outcome.</t>
  </si>
  <si>
    <t xml:space="preserve">Concessions and free rent</t>
  </si>
  <si>
    <t xml:space="preserve">Timed explicitly rather than smoothed away.</t>
  </si>
  <si>
    <t xml:space="preserve">Effective gross income</t>
  </si>
  <si>
    <t xml:space="preserve">Operating expenses</t>
  </si>
  <si>
    <t xml:space="preserve">Why the adjustment</t>
  </si>
  <si>
    <t xml:space="preserve">Payroll</t>
  </si>
  <si>
    <t xml:space="preserve">No "management lift" without a staffing plan. Wage inflation added, savings not assumed.</t>
  </si>
  <si>
    <t xml:space="preserve">Repairs and maintenance</t>
  </si>
  <si>
    <t xml:space="preserve">T-12 benefited from deferred maintenance. Restored to the operating comp.</t>
  </si>
  <si>
    <t xml:space="preserve">Contract services</t>
  </si>
  <si>
    <t xml:space="preserve">Landscaping, security, janitorial, at renewal pricing.</t>
  </si>
  <si>
    <t xml:space="preserve">Utilities</t>
  </si>
  <si>
    <t xml:space="preserve">Rate and consumption modelled separately; vacancy suppressed the T-12.</t>
  </si>
  <si>
    <t xml:space="preserve">Property taxes</t>
  </si>
  <si>
    <t xml:space="preserve">Reassessment on sale at the local ratio, with the appeal modelled as upside only.</t>
  </si>
  <si>
    <t xml:space="preserve">Insurance</t>
  </si>
  <si>
    <t xml:space="preserve">Broker quote, not last year's premium. Section 8.2 is explicit about this one.</t>
  </si>
  <si>
    <t xml:space="preserve">Administrative, marketing, legal</t>
  </si>
  <si>
    <t xml:space="preserve">Management fee</t>
  </si>
  <si>
    <t xml:space="preserve">Percentage of the underwritten EGI, not the T-12 EGI.</t>
  </si>
  <si>
    <t xml:space="preserve">Non-recurring: legal settlement</t>
  </si>
  <si>
    <t xml:space="preserve">A credit in the T-12 that will not repeat. Removed.</t>
  </si>
  <si>
    <t xml:space="preserve">Total operating expenses</t>
  </si>
  <si>
    <t xml:space="preserve">Net operating income</t>
  </si>
  <si>
    <t xml:space="preserve">Underwritten NOI as a share of the T-12</t>
  </si>
  <si>
    <t xml:space="preserve">A number materially above 100% is the "management lift without a plan" red flag from 8.16.</t>
  </si>
  <si>
    <t xml:space="preserve">Operating expense ratio (underwritten)</t>
  </si>
  <si>
    <t xml:space="preserve">NOI quality score — the rubric in 8.2</t>
  </si>
  <si>
    <t xml:space="preserve">Six criteria, scored 1 to 5, where 5 is the most durable. Section 8.2 is clear that the exact scoring matters less than having a shared language across deals — but it also says the score should feed required yield thresholds, debt sizing and exit cap conservatism, so it does that here.</t>
  </si>
  <si>
    <t xml:space="preserve">Criterion</t>
  </si>
  <si>
    <t xml:space="preserve">Score 1-5</t>
  </si>
  <si>
    <t xml:space="preserve">Weight</t>
  </si>
  <si>
    <t xml:space="preserve">What a 5 looks like</t>
  </si>
  <si>
    <t xml:space="preserve">Lease term and rollover profile</t>
  </si>
  <si>
    <t xml:space="preserve">Laddered expiries, weighted average lease term comfortably beyond the hold.</t>
  </si>
  <si>
    <t xml:space="preserve">Tenant credit and concentration</t>
  </si>
  <si>
    <t xml:space="preserve">No tenant above 10% of income; investment-grade or long operating history.</t>
  </si>
  <si>
    <t xml:space="preserve">Rent collection history</t>
  </si>
  <si>
    <t xml:space="preserve">Clean A/R ageing, no repeat concessions, no payment plans.</t>
  </si>
  <si>
    <t xml:space="preserve">Reimbursement structure</t>
  </si>
  <si>
    <t xml:space="preserve">True NNN with no material exclusions, confirmed in the lease audit.</t>
  </si>
  <si>
    <t xml:space="preserve">Expense volatility</t>
  </si>
  <si>
    <t xml:space="preserve">Stable utilities, payroll and repairs; insurance and taxes already reset.</t>
  </si>
  <si>
    <t xml:space="preserve">Degree of management lift assumed</t>
  </si>
  <si>
    <t xml:space="preserve">The business plan does not depend on operating savings to clear the hurdle.</t>
  </si>
  <si>
    <t xml:space="preserve">Weighted score</t>
  </si>
  <si>
    <t xml:space="preserve">Suggested yield premium over the clean-NOI threshold</t>
  </si>
  <si>
    <t xml:space="preserve">25bps of required unlevered yield for each point below 4.0. A convention, not a market rate — change the 0.0025 if your investment committee uses a different one.</t>
  </si>
  <si>
    <t xml:space="preserve">Suggested exit cap conservatism</t>
  </si>
  <si>
    <t xml:space="preserve">Reading</t>
  </si>
  <si>
    <t xml:space="preserve">Rent roll as a risk map, not a schedule</t>
  </si>
  <si>
    <t xml:space="preserve">Section 8.3 asks four questions of a rent roll: what cash flow is contractual, what is at risk, what is the embedded mark-to-market, and what leasing events could change the story. Operating occupancy is tracked separately from leased occupancy because of the "phantom occupancy" case in that section — a tenant can be paying and still be dark.</t>
  </si>
  <si>
    <t xml:space="preserve">Tenant</t>
  </si>
  <si>
    <t xml:space="preserve">Area (sf)</t>
  </si>
  <si>
    <t xml:space="preserve">In-place rent ($/sf)</t>
  </si>
  <si>
    <t xml:space="preserve">Market rent ($/sf)</t>
  </si>
  <si>
    <t xml:space="preserve">Lease expiry (year)</t>
  </si>
  <si>
    <t xml:space="preserve">Operating?</t>
  </si>
  <si>
    <t xml:space="preserve">Renewal probability</t>
  </si>
  <si>
    <t xml:space="preserve">Downtime (months)</t>
  </si>
  <si>
    <t xml:space="preserve">In-place rent ($)</t>
  </si>
  <si>
    <t xml:space="preserve">Mark-to-market ($)</t>
  </si>
  <si>
    <t xml:space="preserve">At-risk rent ($)</t>
  </si>
  <si>
    <t xml:space="preserve">National anchor</t>
  </si>
  <si>
    <t xml:space="preserve">No</t>
  </si>
  <si>
    <t xml:space="preserve">Regional grocer</t>
  </si>
  <si>
    <t xml:space="preserve">Yes</t>
  </si>
  <si>
    <t xml:space="preserve">Fitness operator</t>
  </si>
  <si>
    <t xml:space="preserve">Quick-service restaurant</t>
  </si>
  <si>
    <t xml:space="preserve">Pharmacy</t>
  </si>
  <si>
    <t xml:space="preserve">Local services — 6 bays</t>
  </si>
  <si>
    <t xml:space="preserve">Vacant suite</t>
  </si>
  <si>
    <t xml:space="preserve">Total</t>
  </si>
  <si>
    <t xml:space="preserve">What the roll actually says</t>
  </si>
  <si>
    <t xml:space="preserve">Measure</t>
  </si>
  <si>
    <t xml:space="preserve">Value</t>
  </si>
  <si>
    <t xml:space="preserve">Note</t>
  </si>
  <si>
    <t xml:space="preserve">Leased occupancy</t>
  </si>
  <si>
    <t xml:space="preserve">Space under a lease, whether or not anyone is in it.</t>
  </si>
  <si>
    <t xml:space="preserve">Operating occupancy</t>
  </si>
  <si>
    <t xml:space="preserve">The metric 8.3 says to add. The gap between the two lines is the phantom occupancy.</t>
  </si>
  <si>
    <t xml:space="preserve">Occupancy gap</t>
  </si>
  <si>
    <t xml:space="preserve">Space paying rent today with no operator behind it.</t>
  </si>
  <si>
    <t xml:space="preserve">Contractual in-place rent</t>
  </si>
  <si>
    <t xml:space="preserve">Embedded mark-to-market</t>
  </si>
  <si>
    <t xml:space="preserve">Real only if the tenant has no capped renewal option and comps support the spread.</t>
  </si>
  <si>
    <t xml:space="preserve">Mark-to-market as a share of in-place</t>
  </si>
  <si>
    <t xml:space="preserve">Rent at risk over the hold</t>
  </si>
  <si>
    <t xml:space="preserve">In-place rent x (1 - renewal probability), Vacant space has no in-place rent to lose; it shows up in the occupancy gap instead.</t>
  </si>
  <si>
    <t xml:space="preserve">Largest tenant as a share of rent</t>
  </si>
  <si>
    <t xml:space="preserve">8.2: a single tenant at 35% of revenue is a valuation and financing story, not just a leasing one.</t>
  </si>
  <si>
    <t xml:space="preserve">Weighted average unexpired term (years)</t>
  </si>
  <si>
    <t xml:space="preserve">Average in-place rent ($/sf)</t>
  </si>
  <si>
    <t xml:space="preserve">On leased area only.</t>
  </si>
  <si>
    <t xml:space="preserve">Expiry clustering</t>
  </si>
  <si>
    <t xml:space="preserve">Section 8.3: "a rent roll where 50% of income expires in the same year is a risk even in a strong market."</t>
  </si>
  <si>
    <t xml:space="preserve">Expiry year</t>
  </si>
  <si>
    <t xml:space="preserve">Rent expiring</t>
  </si>
  <si>
    <t xml:space="preserve">Share of in-place rent</t>
  </si>
  <si>
    <t xml:space="preserve">Cumulative share</t>
  </si>
  <si>
    <t xml:space="preserve">Flag</t>
  </si>
  <si>
    <t xml:space="preserve">Peak single-year expiry</t>
  </si>
  <si>
    <t xml:space="preserve">Yield on cost — the industrial build-to-core in 8.7</t>
  </si>
  <si>
    <t xml:space="preserve">Section 8.7 gives the example in three numbers: $80M of total cost, $5.6M of stabilised NOI, a 7.0% yield on cost, and an implied value of roughly $97.4M at a 5.75% market cap. It then makes two points — that a fully loaded cost basis is the only honest denominator, and that a 10% cost overrun compresses the yield immediately. Both are below.</t>
  </si>
  <si>
    <t xml:space="preserve">Cost basis — fully loaded, as 8.7 requires</t>
  </si>
  <si>
    <t xml:space="preserve">Component</t>
  </si>
  <si>
    <t xml:space="preserve">Amount</t>
  </si>
  <si>
    <t xml:space="preserve">Land and acquisition</t>
  </si>
  <si>
    <t xml:space="preserve">Hard costs</t>
  </si>
  <si>
    <t xml:space="preserve">Soft costs and professional fees</t>
  </si>
  <si>
    <t xml:space="preserve">Capitalised interest</t>
  </si>
  <si>
    <t xml:space="preserve">8.7: include it. Financing cost is part of what the asset cost you.</t>
  </si>
  <si>
    <t xml:space="preserve">Developer fee</t>
  </si>
  <si>
    <t xml:space="preserve">Include it even when it is paid to an affiliate — especially then.</t>
  </si>
  <si>
    <t xml:space="preserve">Tenant improvements</t>
  </si>
  <si>
    <t xml:space="preserve">Leasing commissions</t>
  </si>
  <si>
    <t xml:space="preserve">Total project cost</t>
  </si>
  <si>
    <t xml:space="preserve">Book figure for comparison</t>
  </si>
  <si>
    <t xml:space="preserve">The components above are an illustrative build-up to the $80M the section states.</t>
  </si>
  <si>
    <t xml:space="preserve">The calculation</t>
  </si>
  <si>
    <t xml:space="preserve">Stabilised NOI</t>
  </si>
  <si>
    <t xml:space="preserve">8.7 — the stabilised figure, not the year-1 figure.</t>
  </si>
  <si>
    <t xml:space="preserve">Market exit cap rate</t>
  </si>
  <si>
    <t xml:space="preserve">8.7 — "if market exit cap is 5.75%".</t>
  </si>
  <si>
    <t xml:space="preserve">Yield on cost</t>
  </si>
  <si>
    <t xml:space="preserve">Book: 7.0%</t>
  </si>
  <si>
    <t xml:space="preserve">Implied value at the market cap</t>
  </si>
  <si>
    <t xml:space="preserve">Book: approximately $97.4M</t>
  </si>
  <si>
    <t xml:space="preserve">Development spread (yield on cost less market cap)</t>
  </si>
  <si>
    <t xml:space="preserve">The margin that is meant to compensate for construction and lease-up risk.</t>
  </si>
  <si>
    <t xml:space="preserve">Value created</t>
  </si>
  <si>
    <t xml:space="preserve">Profit on cost</t>
  </si>
  <si>
    <t xml:space="preserve">A 125bps spread is a common institutional floor for build-to-core. It is a convention, not a rule.</t>
  </si>
  <si>
    <t xml:space="preserve">What a cost overrun does — 8.7's second point</t>
  </si>
  <si>
    <t xml:space="preserve">Cost overrun</t>
  </si>
  <si>
    <t xml:space="preserve">Total cost</t>
  </si>
  <si>
    <t xml:space="preserve">Spread over market cap</t>
  </si>
  <si>
    <t xml:space="preserve">Read the 10% row against the 0% row. Ten per cent of cost overrun costs roughly 64bps of yield on cost — over half the development spread — without a single assumption about rent or exit changing. That is why 8.7 calls yield on cost the truth serum.</t>
  </si>
  <si>
    <t xml:space="preserve">What it would take to hold the spread</t>
  </si>
  <si>
    <t xml:space="preserve">NOI needed to hold a 125bps spread at current cost</t>
  </si>
  <si>
    <t xml:space="preserve">The rent roll has to get there, or the cost has to come down.</t>
  </si>
  <si>
    <t xml:space="preserve">Cost ceiling to hold a 125bps spread at current NOI</t>
  </si>
  <si>
    <t xml:space="preserve">Headroom against that ceiling</t>
  </si>
  <si>
    <t xml:space="preserve">Compare this to the contingency line in the capex plan. If the contingency is larger than the headroom, the spread is already spent.</t>
  </si>
  <si>
    <t xml:space="preserve">Cap expansion that erases the spread entirely</t>
  </si>
  <si>
    <t xml:space="preserve">Basis points of exit cap expansion the deal can absorb before it is worth less than it cost.</t>
  </si>
  <si>
    <t xml:space="preserve">Exit sensitivity — the grid 8.8 asks for</t>
  </si>
  <si>
    <t xml:space="preserve">"IC is not looking for a single-point IRR; it wants to see the deal's fragility and resilience." The capital stack and hold below are an illustrative extension of the 8.7 deal — the section gives cost, NOI and cap rate only. Every added assumption is an input you can change.</t>
  </si>
  <si>
    <t xml:space="preserve">Capital stack and hold</t>
  </si>
  <si>
    <t xml:space="preserve">Input</t>
  </si>
  <si>
    <t xml:space="preserve">From the cost build-up on the previous sheet.</t>
  </si>
  <si>
    <t xml:space="preserve">Stabilised NOI, year 1 of the hold</t>
  </si>
  <si>
    <t xml:space="preserve">Loan to cost</t>
  </si>
  <si>
    <t xml:space="preserve">Illustrative.</t>
  </si>
  <si>
    <t xml:space="preserve">Interest rate (interest only)</t>
  </si>
  <si>
    <t xml:space="preserve">NOI growth per year</t>
  </si>
  <si>
    <t xml:space="preserve">Hold period (years)</t>
  </si>
  <si>
    <t xml:space="preserve">8.8 asks for sale timing sensitivity; year 5 is the base.</t>
  </si>
  <si>
    <t xml:space="preserve">Exit cap rate — base</t>
  </si>
  <si>
    <t xml:space="preserve">8.7 — 5.75%</t>
  </si>
  <si>
    <t xml:space="preserve">Selling costs</t>
  </si>
  <si>
    <t xml:space="preserve">Brokerage, transfer taxes, buyer credits — 8.8 lists these explicitly.</t>
  </si>
  <si>
    <t xml:space="preserve">Loan amount</t>
  </si>
  <si>
    <t xml:space="preserve">Equity</t>
  </si>
  <si>
    <t xml:space="preserve">Annual debt service (interest only)</t>
  </si>
  <si>
    <t xml:space="preserve">Year-1 DSCR</t>
  </si>
  <si>
    <t xml:space="preserve">Year-1 debt yield</t>
  </si>
  <si>
    <t xml:space="preserve">Levered cash flow and IRR across exit caps</t>
  </si>
  <si>
    <t xml:space="preserve">The cash flows are shown rather than hidden behind a data table. Only the final row differs between the columns — operating cash flow does not care what you sell at.</t>
  </si>
  <si>
    <t xml:space="preserve">Year</t>
  </si>
  <si>
    <t xml:space="preserve">0 — equity invested</t>
  </si>
  <si>
    <t xml:space="preserve">1 — operating cash flow after debt service</t>
  </si>
  <si>
    <t xml:space="preserve">2 — operating cash flow after debt service</t>
  </si>
  <si>
    <t xml:space="preserve">3 — operating cash flow after debt service</t>
  </si>
  <si>
    <t xml:space="preserve">4 — operating cash flow after debt service</t>
  </si>
  <si>
    <t xml:space="preserve">5 — operating cash flow plus net sale proceeds</t>
  </si>
  <si>
    <t xml:space="preserve">Levered IRR</t>
  </si>
  <si>
    <t xml:space="preserve">Equity multiple</t>
  </si>
  <si>
    <t xml:space="preserve">Exit value</t>
  </si>
  <si>
    <t xml:space="preserve">Two-dimensional grid — exit cap across, exit NOI down</t>
  </si>
  <si>
    <t xml:space="preserve">Equity multiple in each cell. A deal whose acceptable outcomes sit in one corner is relying on a narrow perfect-exit window; that is the fragility 8.8 wants surfaced.</t>
  </si>
  <si>
    <t xml:space="preserve">Exit NOI adjustment</t>
  </si>
  <si>
    <t xml:space="preserve">The row at 0% and the column at 5.75% is the base case, and it should agree with the equity multiple in the strip above. The Checks sheet tests that.</t>
  </si>
  <si>
    <t xml:space="preserve">Base, upside, downside — the office repositioning in 8.9</t>
  </si>
  <si>
    <t xml:space="preserve">Section 8.9 is scathing about scenarios that "change rent growth by 50 bps and call it downside". Its own example is an office repositioning at 65% occupancy at close with a path to 90% by year 3, and a real downside that assumes leasing takes twelve months longer, TI/LC costs rise 15%, market rents are flat for two years, and the exit cap expands 75bps. Those four changes are the downside column below — nothing else was touched.</t>
  </si>
  <si>
    <t xml:space="preserve">Asset and basis</t>
  </si>
  <si>
    <t xml:space="preserve">Net rentable area (sf)</t>
  </si>
  <si>
    <t xml:space="preserve">Purchase price</t>
  </si>
  <si>
    <t xml:space="preserve">$190 per square foot — a 65%-leased building that needs work does not trade at a stabilised basis.</t>
  </si>
  <si>
    <t xml:space="preserve">Base TI/LC and repositioning budget</t>
  </si>
  <si>
    <t xml:space="preserve">Separated from building capex, per item 13 of the 8.15 checklist.</t>
  </si>
  <si>
    <t xml:space="preserve">Building capex</t>
  </si>
  <si>
    <t xml:space="preserve">Operating expenses ($/sf)</t>
  </si>
  <si>
    <t xml:space="preserve">On total area, not leased area.</t>
  </si>
  <si>
    <t xml:space="preserve">Loan to total basis</t>
  </si>
  <si>
    <t xml:space="preserve">Occupancy at close</t>
  </si>
  <si>
    <t xml:space="preserve">8.9 — "65% occupancy at close".</t>
  </si>
  <si>
    <t xml:space="preserve">The three scenarios</t>
  </si>
  <si>
    <t xml:space="preserve">Assumption</t>
  </si>
  <si>
    <t xml:space="preserve">Base</t>
  </si>
  <si>
    <t xml:space="preserve">Upside</t>
  </si>
  <si>
    <t xml:space="preserve">Downside</t>
  </si>
  <si>
    <t xml:space="preserve">What 8.9 says</t>
  </si>
  <si>
    <t xml:space="preserve">Starting market rent ($/sf)</t>
  </si>
  <si>
    <t xml:space="preserve">Same market at close in all three. Scenarios are about the path, not the starting point.</t>
  </si>
  <si>
    <t xml:space="preserve">Rent growth, years 1-2</t>
  </si>
  <si>
    <t xml:space="preserve">Downside: "market rents are flat for two years".</t>
  </si>
  <si>
    <t xml:space="preserve">Rent growth, years 3-5</t>
  </si>
  <si>
    <t xml:space="preserve">Occupancy, year 1</t>
  </si>
  <si>
    <t xml:space="preserve">Occupancy, year 2</t>
  </si>
  <si>
    <t xml:space="preserve">Downside: leasing takes twelve months longer, so year 2 does not move.</t>
  </si>
  <si>
    <t xml:space="preserve">Occupancy, year 3</t>
  </si>
  <si>
    <t xml:space="preserve">Base reaches 90% by year 3, exactly as the section states.</t>
  </si>
  <si>
    <t xml:space="preserve">Occupancy, year 4</t>
  </si>
  <si>
    <t xml:space="preserve">Occupancy, year 5</t>
  </si>
  <si>
    <t xml:space="preserve">TI/LC cost multiplier</t>
  </si>
  <si>
    <t xml:space="preserve">Downside: "TI/LC costs rise 15%".</t>
  </si>
  <si>
    <t xml:space="preserve">Exit cap rate</t>
  </si>
  <si>
    <t xml:space="preserve">Downside: "exit cap expands 75 bps" from the 6.50% base.</t>
  </si>
  <si>
    <t xml:space="preserve">Results</t>
  </si>
  <si>
    <t xml:space="preserve">Total basis</t>
  </si>
  <si>
    <t xml:space="preserve">Loan</t>
  </si>
  <si>
    <t xml:space="preserve">Annual debt service</t>
  </si>
  <si>
    <t xml:space="preserve">Net operating income by year</t>
  </si>
  <si>
    <t xml:space="preserve">Levered cash flow</t>
  </si>
  <si>
    <t xml:space="preserve">0</t>
  </si>
  <si>
    <t xml:space="preserve">5 (incl. sale)</t>
  </si>
  <si>
    <t xml:space="preserve">Minimum DSCR, years 1-2 (lease-up)</t>
  </si>
  <si>
    <t xml:space="preserve">Below 1.00x by design during a repositioning. This is what the interest reserve is for, and why the covenant springs later.</t>
  </si>
  <si>
    <t xml:space="preserve">Minimum DSCR from year 3 (covenant test)</t>
  </si>
  <si>
    <t xml:space="preserve">Interest reserve needed through year 2</t>
  </si>
  <si>
    <t xml:space="preserve">Size the reserve off the downside column, not the base column.</t>
  </si>
  <si>
    <t xml:space="preserve">Exit value against total basis</t>
  </si>
  <si>
    <t xml:space="preserve">Clears a 1.20x DSCR covenant from year 3</t>
  </si>
  <si>
    <t xml:space="preserve">8.9 ends by asking whether the deal can be mitigated through structure — lower leverage, extension options — or should be passed. This row is where that conversation starts.</t>
  </si>
  <si>
    <t xml:space="preserve">The downside column is not a haircut. It is a different operating year: the same asset, leased twelve months slower, at a higher cost of leasing, into a flat market, sold to a buyer wanting 75bps more yield. If the deal clears the hurdle here, the base case is a plan rather than a hope.</t>
  </si>
  <si>
    <t xml:space="preserve">And that is the section's own conclusion, arrived at rather than asserted: the downside returns capital and very little else — the exit lands within a whisker of total basis — but it does not lose money and it does not breach. Section 8.9 says the deal "may still work if purchase basis is low enough and debt is structured to survive extended low cash flow". Lift the purchase price by ten per cent and run it again; the downside stops working, and the answer to "mitigate or pass" changes.</t>
  </si>
  <si>
    <t xml:space="preserve">The pre-IC gate</t>
  </si>
  <si>
    <t xml:space="preserve">Thirty items from 8.15 and nine LP red flags from 8.16. Section 8.15 is explicit about how to use it: "if you cannot check an item, you either fix it or disclose it clearly with a plan." The Disclosed status exists for that reason — it is not a softer version of Done.</t>
  </si>
  <si>
    <t xml:space="preserve">#</t>
  </si>
  <si>
    <t xml:space="preserve">Item</t>
  </si>
  <si>
    <t xml:space="preserve">Status</t>
  </si>
  <si>
    <t xml:space="preserve">Owner</t>
  </si>
  <si>
    <t xml:space="preserve">Note or disclosure</t>
  </si>
  <si>
    <t xml:space="preserve">A. Inputs and data integrity</t>
  </si>
  <si>
    <t xml:space="preserve">All key inputs centralised on an Inputs tab with clear labels and units.</t>
  </si>
  <si>
    <t xml:space="preserve">Open</t>
  </si>
  <si>
    <t xml:space="preserve">Blue/black (or equivalent) formatting consistently applied.</t>
  </si>
  <si>
    <t xml:space="preserve">No hard-coded constants inside formulas for material line items.</t>
  </si>
  <si>
    <t xml:space="preserve">Rent roll ties to modelled year-1 contractual rent within an agreed tolerance.</t>
  </si>
  <si>
    <t xml:space="preserve">T-12 expenses loaded and normalised with documented adjustments.</t>
  </si>
  <si>
    <t xml:space="preserve">Property taxes underwritten with reassessment logic and appeal assumptions stated.</t>
  </si>
  <si>
    <t xml:space="preserve">Insurance based on quote or market broker guidance, not last year's premium.</t>
  </si>
  <si>
    <t xml:space="preserve">B. Revenue and lease modelling</t>
  </si>
  <si>
    <t xml:space="preserve">Lease abstracts completed for major tenants (or top 80% of income) and variances disclosed.</t>
  </si>
  <si>
    <t xml:space="preserve">Free rent and concessions modelled explicitly and timed correctly.</t>
  </si>
  <si>
    <t xml:space="preserve">Renewal probabilities, downtime and leasing costs documented and supported by comps.</t>
  </si>
  <si>
    <t xml:space="preserve">Reimbursements reflect actual lease language and exclusions.</t>
  </si>
  <si>
    <t xml:space="preserve">C. Capex and business plan</t>
  </si>
  <si>
    <t xml:space="preserve">Capex plan itemised with scope, timing and bids or benchmarks.</t>
  </si>
  <si>
    <t xml:space="preserve">TI/LC separated from building capex and tied to leasing assumptions.</t>
  </si>
  <si>
    <t xml:space="preserve">Contingency reserve included and justified — deal-specific, not arbitrary.</t>
  </si>
  <si>
    <t xml:space="preserve">Stabilisation definition stated: occupancy, NOI, months of trailing performance.</t>
  </si>
  <si>
    <t xml:space="preserve">D. Debt and capital stack</t>
  </si>
  <si>
    <t xml:space="preserve">Debt terms reflect a current lender quote or realistic market assumptions.</t>
  </si>
  <si>
    <t xml:space="preserve">Interest rate cap cost included when applicable.</t>
  </si>
  <si>
    <t xml:space="preserve">DSCR, debt yield and LTV tracked over time; maturity test highlighted.</t>
  </si>
  <si>
    <t xml:space="preserve">Refinance assumptions tested under downside scenarios with binding constraints.</t>
  </si>
  <si>
    <t xml:space="preserve">Extensions modelled only if realistic and conditional tests shown.</t>
  </si>
  <si>
    <t xml:space="preserve">E. Returns and sensitivities</t>
  </si>
  <si>
    <t xml:space="preserve">Levered and unlevered returns presented: IRR, equity multiple, cash-on-cash.</t>
  </si>
  <si>
    <t xml:space="preserve">Exit cap and exit NOI sensitivity table included.</t>
  </si>
  <si>
    <t xml:space="preserve">Key operating sensitivities included: rent growth, occupancy and absorption, opex inflation.</t>
  </si>
  <si>
    <t xml:space="preserve">Scenario narratives clearly stated and reflected in assumptions, not cosmetic.</t>
  </si>
  <si>
    <t xml:space="preserve">F. Governance and readability</t>
  </si>
  <si>
    <t xml:space="preserve">Model has a Read Me tab: structure, conventions and navigation.</t>
  </si>
  <si>
    <t xml:space="preserve">Assumption log updated and attached to the IC memo.</t>
  </si>
  <si>
    <t xml:space="preserve">Version number and date clearly shown in the model and in the IC deck.</t>
  </si>
  <si>
    <t xml:space="preserve">Error checks visible and all checks pass.</t>
  </si>
  <si>
    <t xml:space="preserve">Outputs formatted for IC: summary page with key metrics and charts.</t>
  </si>
  <si>
    <t xml:space="preserve">A third-party reviewer — someone other than the model author — has reviewed the file.</t>
  </si>
  <si>
    <t xml:space="preserve">G. LP red flags from 8.16 — confirm each is absent or explained</t>
  </si>
  <si>
    <t xml:space="preserve">Exit cap compression assumed with no justification.</t>
  </si>
  <si>
    <t xml:space="preserve">Growth assumptions detached from comps.</t>
  </si>
  <si>
    <t xml:space="preserve">"Management lift" expense savings without an operational plan.</t>
  </si>
  <si>
    <t xml:space="preserve">Refinance used as a bailout strategy.</t>
  </si>
  <si>
    <t xml:space="preserve">Opaque waterfall or unclear fees.</t>
  </si>
  <si>
    <t xml:space="preserve">Missing tie-outs and reconciliations to the rent roll.</t>
  </si>
  <si>
    <t xml:space="preserve">Overconfidence in lease-up timing.</t>
  </si>
  <si>
    <t xml:space="preserve">No contingency reserve, or a contingency with no explanation.</t>
  </si>
  <si>
    <t xml:space="preserve">Poor model governance: no version history, no assumption log.</t>
  </si>
  <si>
    <t xml:space="preserve">Status values: Done / Disclosed / Open / N/A</t>
  </si>
  <si>
    <t xml:space="preserve">Progress</t>
  </si>
  <si>
    <t xml:space="preserve">Count</t>
  </si>
  <si>
    <t xml:space="preserve">Items in scope</t>
  </si>
  <si>
    <t xml:space="preserve">Done</t>
  </si>
  <si>
    <t xml:space="preserve">Disclosed</t>
  </si>
  <si>
    <t xml:space="preserve">Each of these needs a line in the note column and a line in the IC memo.</t>
  </si>
  <si>
    <t xml:space="preserve">8.15 is a gate, not a wish list.</t>
  </si>
  <si>
    <t xml:space="preserve">Not applicable</t>
  </si>
  <si>
    <t xml:space="preserve">Ready for IC</t>
  </si>
  <si>
    <t xml:space="preserve">Percentage complete</t>
  </si>
  <si>
    <t xml:space="preserve">Every figure Chapter 8 prints, plus the internal consistency tests. Anything other than OK means the workbook no longer says what the book says.</t>
  </si>
  <si>
    <t xml:space="preserve">Test</t>
  </si>
  <si>
    <t xml:space="preserve">Expected</t>
  </si>
  <si>
    <t xml:space="preserve">Computed</t>
  </si>
  <si>
    <t xml:space="preserve">Source</t>
  </si>
  <si>
    <t xml:space="preserve">8.7 — "total cost of $80M"</t>
  </si>
  <si>
    <t xml:space="preserve">8.7 — "stabilized NOI of $5.6M"</t>
  </si>
  <si>
    <t xml:space="preserve">8.7 — "YoC = 7.0%"</t>
  </si>
  <si>
    <t xml:space="preserve">Market exit cap</t>
  </si>
  <si>
    <t xml:space="preserve">8.7 — "market exit cap is 5.75%"</t>
  </si>
  <si>
    <t xml:space="preserve">Implied value</t>
  </si>
  <si>
    <t xml:space="preserve">8.7 — "implied value approximately $97.4M"</t>
  </si>
  <si>
    <t xml:space="preserve">Development spread</t>
  </si>
  <si>
    <t xml:space="preserve">7.00% less 5.75%</t>
  </si>
  <si>
    <t xml:space="preserve">Yield on cost after a 10% overrun</t>
  </si>
  <si>
    <t xml:space="preserve">8.7 — "if costs rise 10%, YoC compresses immediately"</t>
  </si>
  <si>
    <t xml:space="preserve">Occupancy at close, office case</t>
  </si>
  <si>
    <t xml:space="preserve">8.9 — "65% occupancy at close"</t>
  </si>
  <si>
    <t xml:space="preserve">Base case reaches 90% by year 3</t>
  </si>
  <si>
    <t xml:space="preserve">8.9 — "a path to 90% by year 3"</t>
  </si>
  <si>
    <t xml:space="preserve">Downside rent growth, years 1-2</t>
  </si>
  <si>
    <t xml:space="preserve">8.9 — "market rents are flat for two years"</t>
  </si>
  <si>
    <t xml:space="preserve">Downside TI/LC multiplier</t>
  </si>
  <si>
    <t xml:space="preserve">8.9 — "TI/LC costs rise 15%"</t>
  </si>
  <si>
    <t xml:space="preserve">Downside exit cap expansion</t>
  </si>
  <si>
    <t xml:space="preserve">8.9 — "exit cap expands 75 bps"</t>
  </si>
  <si>
    <t xml:space="preserve">Downside year 2 occupancy equals year 1</t>
  </si>
  <si>
    <t xml:space="preserve">8.9 — "leasing takes 12 months longer"</t>
  </si>
  <si>
    <t xml:space="preserve">Internal consistency</t>
  </si>
  <si>
    <t xml:space="preserve">Grid base cell agrees with the IRR strip</t>
  </si>
  <si>
    <t xml:space="preserve">Row at 0% NOI adjustment, column at 5.75%.</t>
  </si>
  <si>
    <t xml:space="preserve">NOI bridge: EGI less opex equals NOI</t>
  </si>
  <si>
    <t xml:space="preserve">The bridge must foot.</t>
  </si>
  <si>
    <t xml:space="preserve">Rent roll: in-place rent sums to the total</t>
  </si>
  <si>
    <t xml:space="preserve">Rent roll: expiry buckets capture all leased rent</t>
  </si>
  <si>
    <t xml:space="preserve">Every expiring lease lands in a year bucket.</t>
  </si>
  <si>
    <t xml:space="preserve">Scenarios: downside equity multiple below base</t>
  </si>
  <si>
    <t xml:space="preserve">A downside that beats the base is not a downside.</t>
  </si>
  <si>
    <t xml:space="preserve">Scenarios: upside above base</t>
  </si>
  <si>
    <t xml:space="preserve">All checks</t>
  </si>
</sst>
</file>

<file path=xl/styles.xml><?xml version="1.0" encoding="utf-8"?>
<styleSheet xmlns="http://schemas.openxmlformats.org/spreadsheetml/2006/main">
  <numFmts count="9">
    <numFmt numFmtId="164" formatCode="General"/>
    <numFmt numFmtId="165" formatCode="\$#,##0;&quot;($&quot;#,##0\);\-"/>
    <numFmt numFmtId="166" formatCode="0.0%;\(0.0%\);\-"/>
    <numFmt numFmtId="167" formatCode="0"/>
    <numFmt numFmtId="168" formatCode="0.0"/>
    <numFmt numFmtId="169" formatCode="0.00"/>
    <numFmt numFmtId="170" formatCode="0.00%;\(0.00%\);\-"/>
    <numFmt numFmtId="171" formatCode="#,##0;\(#,##0\);\-"/>
    <numFmt numFmtId="172" formatCode="0.00\x"/>
  </numFmts>
  <fonts count="12">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sz val="10"/>
      <name val="Arial"/>
      <family val="0"/>
      <charset val="1"/>
    </font>
    <font>
      <b val="true"/>
      <sz val="11"/>
      <color rgb="FF1F3864"/>
      <name val="Arial"/>
      <family val="0"/>
      <charset val="1"/>
    </font>
    <font>
      <b val="true"/>
      <sz val="10"/>
      <name val="Arial"/>
      <family val="0"/>
      <charset val="1"/>
    </font>
    <font>
      <i val="true"/>
      <sz val="9"/>
      <color rgb="FF595959"/>
      <name val="Arial"/>
      <family val="0"/>
      <charset val="1"/>
    </font>
    <font>
      <b val="true"/>
      <sz val="10"/>
      <color rgb="FFFFFFFF"/>
      <name val="Arial"/>
      <family val="0"/>
      <charset val="1"/>
    </font>
    <font>
      <sz val="10"/>
      <color rgb="FF0000FF"/>
      <name val="Arial"/>
      <family val="0"/>
      <charset val="1"/>
    </font>
    <font>
      <sz val="10"/>
      <color rgb="FF008000"/>
      <name val="Arial"/>
      <family val="0"/>
      <charset val="1"/>
    </font>
  </fonts>
  <fills count="5">
    <fill>
      <patternFill patternType="none"/>
    </fill>
    <fill>
      <patternFill patternType="gray125"/>
    </fill>
    <fill>
      <patternFill patternType="solid">
        <fgColor rgb="FF1F3864"/>
        <bgColor rgb="FF333333"/>
      </patternFill>
    </fill>
    <fill>
      <patternFill patternType="solid">
        <fgColor rgb="FFFFFF00"/>
        <bgColor rgb="FFFFFF00"/>
      </patternFill>
    </fill>
    <fill>
      <patternFill patternType="solid">
        <fgColor rgb="FFEDF2F9"/>
        <bgColor rgb="FFFF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9" fillId="2"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5" fontId="7" fillId="4" borderId="0" xfId="0" applyFont="tru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7" fontId="10" fillId="3" borderId="1" xfId="0" applyFont="true" applyBorder="true" applyAlignment="false" applyProtection="false">
      <alignment horizontal="general" vertical="bottom" textRotation="0" wrapText="false" indent="0" shrinkToFit="false"/>
      <protection locked="true" hidden="false"/>
    </xf>
    <xf numFmtId="168" fontId="10" fillId="3" borderId="1" xfId="0" applyFont="true" applyBorder="true" applyAlignment="false" applyProtection="false">
      <alignment horizontal="general" vertical="bottom" textRotation="0" wrapText="false" indent="0" shrinkToFit="false"/>
      <protection locked="true" hidden="false"/>
    </xf>
    <xf numFmtId="169" fontId="7" fillId="4" borderId="0" xfId="0" applyFont="true" applyBorder="false" applyAlignment="false" applyProtection="false">
      <alignment horizontal="general" vertical="bottom" textRotation="0" wrapText="false" indent="0" shrinkToFit="false"/>
      <protection locked="true" hidden="false"/>
    </xf>
    <xf numFmtId="170" fontId="5" fillId="0" borderId="0" xfId="0" applyFont="true" applyBorder="false" applyAlignment="false" applyProtection="false">
      <alignment horizontal="general" vertical="bottom" textRotation="0" wrapText="false" indent="0" shrinkToFit="false"/>
      <protection locked="true" hidden="false"/>
    </xf>
    <xf numFmtId="171" fontId="10" fillId="3" borderId="1" xfId="0" applyFont="true" applyBorder="true" applyAlignment="false" applyProtection="false">
      <alignment horizontal="general" vertical="bottom" textRotation="0" wrapText="false" indent="0" shrinkToFit="false"/>
      <protection locked="true" hidden="false"/>
    </xf>
    <xf numFmtId="169" fontId="10" fillId="3" borderId="1" xfId="0" applyFont="true" applyBorder="true" applyAlignment="false" applyProtection="false">
      <alignment horizontal="general" vertical="bottom" textRotation="0" wrapText="false" indent="0" shrinkToFit="false"/>
      <protection locked="true" hidden="false"/>
    </xf>
    <xf numFmtId="164" fontId="10" fillId="3" borderId="1" xfId="0" applyFont="true" applyBorder="true" applyAlignment="true" applyProtection="false">
      <alignment horizontal="center" vertical="bottom" textRotation="0" wrapText="false" indent="0" shrinkToFit="false"/>
      <protection locked="true" hidden="false"/>
    </xf>
    <xf numFmtId="166" fontId="10" fillId="3" borderId="1" xfId="0" applyFont="true" applyBorder="true" applyAlignment="false" applyProtection="false">
      <alignment horizontal="general" vertical="bottom" textRotation="0" wrapText="false" indent="0" shrinkToFit="false"/>
      <protection locked="true" hidden="false"/>
    </xf>
    <xf numFmtId="171" fontId="7" fillId="4" borderId="0" xfId="0" applyFont="true" applyBorder="false" applyAlignment="false" applyProtection="false">
      <alignment horizontal="general" vertical="bottom" textRotation="0" wrapText="false" indent="0" shrinkToFit="false"/>
      <protection locked="true" hidden="false"/>
    </xf>
    <xf numFmtId="168" fontId="5" fillId="0" borderId="0" xfId="0" applyFont="true" applyBorder="false" applyAlignment="false" applyProtection="false">
      <alignment horizontal="general" vertical="bottom" textRotation="0" wrapText="false" indent="0" shrinkToFit="false"/>
      <protection locked="true" hidden="false"/>
    </xf>
    <xf numFmtId="169" fontId="5" fillId="0" borderId="0" xfId="0" applyFont="true" applyBorder="false" applyAlignment="false" applyProtection="false">
      <alignment horizontal="general" vertical="bottom" textRotation="0" wrapText="false" indent="0" shrinkToFit="false"/>
      <protection locked="true" hidden="false"/>
    </xf>
    <xf numFmtId="166" fontId="7" fillId="4" borderId="0" xfId="0" applyFont="true" applyBorder="false" applyAlignment="false" applyProtection="false">
      <alignment horizontal="general" vertical="bottom" textRotation="0" wrapText="false" indent="0" shrinkToFit="false"/>
      <protection locked="true" hidden="false"/>
    </xf>
    <xf numFmtId="170" fontId="10" fillId="3" borderId="1" xfId="0" applyFont="true" applyBorder="true" applyAlignment="false" applyProtection="false">
      <alignment horizontal="general" vertical="bottom" textRotation="0" wrapText="false" indent="0" shrinkToFit="false"/>
      <protection locked="true" hidden="false"/>
    </xf>
    <xf numFmtId="170" fontId="7" fillId="4" borderId="0" xfId="0" applyFont="tru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70" fontId="11" fillId="0" borderId="0" xfId="0" applyFont="true" applyBorder="false" applyAlignment="false" applyProtection="false">
      <alignment horizontal="general" vertical="bottom" textRotation="0" wrapText="false" indent="0" shrinkToFit="false"/>
      <protection locked="true" hidden="false"/>
    </xf>
    <xf numFmtId="172" fontId="5" fillId="0" borderId="0" xfId="0" applyFont="true" applyBorder="false" applyAlignment="false" applyProtection="false">
      <alignment horizontal="general" vertical="bottom" textRotation="0" wrapText="false" indent="0" shrinkToFit="false"/>
      <protection locked="true" hidden="false"/>
    </xf>
    <xf numFmtId="170" fontId="10" fillId="3" borderId="1" xfId="0" applyFont="true" applyBorder="true" applyAlignment="true" applyProtection="false">
      <alignment horizontal="center" vertical="bottom" textRotation="0" wrapText="false" indent="0" shrinkToFit="false"/>
      <protection locked="true" hidden="false"/>
    </xf>
    <xf numFmtId="172" fontId="7" fillId="4" borderId="0" xfId="0" applyFont="true" applyBorder="false" applyAlignment="false" applyProtection="false">
      <alignment horizontal="general" vertical="bottom" textRotation="0" wrapText="false" indent="0" shrinkToFit="false"/>
      <protection locked="true" hidden="false"/>
    </xf>
    <xf numFmtId="170" fontId="9" fillId="2" borderId="0" xfId="0" applyFont="true" applyBorder="false" applyAlignment="true" applyProtection="false">
      <alignment horizontal="center"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7" fillId="4"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10" fillId="3" borderId="1" xfId="0" applyFont="true" applyBorder="true" applyAlignment="false" applyProtection="false">
      <alignment horizontal="general" vertical="bottom" textRotation="0" wrapText="false" indent="0" shrinkToFit="false"/>
      <protection locked="true" hidden="false"/>
    </xf>
    <xf numFmtId="167" fontId="5" fillId="0" borderId="0" xfId="0" applyFont="true" applyBorder="false" applyAlignment="false" applyProtection="false">
      <alignment horizontal="general"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DF2F9"/>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7.35" hidden="false" customHeight="false" outlineLevel="0" collapsed="false">
      <c r="B2" s="1" t="s">
        <v>0</v>
      </c>
    </row>
    <row r="4" customFormat="false" ht="23.85" hidden="false" customHeight="false" outlineLevel="0" collapsed="false">
      <c r="B4" s="2" t="s">
        <v>1</v>
      </c>
    </row>
    <row r="6" customFormat="false" ht="15" hidden="false" customHeight="false" outlineLevel="0" collapsed="false">
      <c r="B6" s="3" t="s">
        <v>2</v>
      </c>
    </row>
    <row r="7" customFormat="false" ht="15" hidden="false" customHeight="false" outlineLevel="0" collapsed="false">
      <c r="B7" s="4" t="s">
        <v>3</v>
      </c>
    </row>
    <row r="8" customFormat="false" ht="23.85" hidden="false" customHeight="false" outlineLevel="0" collapsed="false">
      <c r="B8" s="2" t="s">
        <v>4</v>
      </c>
    </row>
    <row r="9" customFormat="false" ht="15" hidden="false" customHeight="false" outlineLevel="0" collapsed="false">
      <c r="B9" s="4" t="s">
        <v>5</v>
      </c>
    </row>
    <row r="10" customFormat="false" ht="35.05" hidden="false" customHeight="false" outlineLevel="0" collapsed="false">
      <c r="B10" s="2" t="s">
        <v>6</v>
      </c>
    </row>
    <row r="11" customFormat="false" ht="15" hidden="false" customHeight="false" outlineLevel="0" collapsed="false">
      <c r="B11" s="4" t="s">
        <v>7</v>
      </c>
    </row>
    <row r="12" customFormat="false" ht="23.85" hidden="false" customHeight="false" outlineLevel="0" collapsed="false">
      <c r="B12" s="2" t="s">
        <v>8</v>
      </c>
    </row>
    <row r="13" customFormat="false" ht="15" hidden="false" customHeight="false" outlineLevel="0" collapsed="false">
      <c r="B13" s="4" t="s">
        <v>9</v>
      </c>
    </row>
    <row r="14" customFormat="false" ht="23.85" hidden="false" customHeight="false" outlineLevel="0" collapsed="false">
      <c r="B14" s="2" t="s">
        <v>10</v>
      </c>
    </row>
    <row r="15" customFormat="false" ht="15" hidden="false" customHeight="false" outlineLevel="0" collapsed="false">
      <c r="B15" s="4" t="s">
        <v>11</v>
      </c>
    </row>
    <row r="16" customFormat="false" ht="23.85" hidden="false" customHeight="false" outlineLevel="0" collapsed="false">
      <c r="B16" s="2" t="s">
        <v>12</v>
      </c>
    </row>
    <row r="17" customFormat="false" ht="15" hidden="false" customHeight="false" outlineLevel="0" collapsed="false">
      <c r="B17" s="4" t="s">
        <v>13</v>
      </c>
    </row>
    <row r="18" customFormat="false" ht="23.85" hidden="false" customHeight="false" outlineLevel="0" collapsed="false">
      <c r="B18" s="2" t="s">
        <v>14</v>
      </c>
    </row>
    <row r="19" customFormat="false" ht="15" hidden="false" customHeight="false" outlineLevel="0" collapsed="false">
      <c r="B19" s="4" t="s">
        <v>15</v>
      </c>
    </row>
    <row r="20" customFormat="false" ht="15" hidden="false" customHeight="false" outlineLevel="0" collapsed="false">
      <c r="B20" s="2" t="s">
        <v>16</v>
      </c>
    </row>
    <row r="22" customFormat="false" ht="15" hidden="false" customHeight="false" outlineLevel="0" collapsed="false">
      <c r="B22" s="3" t="s">
        <v>17</v>
      </c>
    </row>
    <row r="23" customFormat="false" ht="23.85" hidden="false" customHeight="false" outlineLevel="0" collapsed="false">
      <c r="B23" s="2" t="s">
        <v>18</v>
      </c>
    </row>
    <row r="25" customFormat="false" ht="32.8" hidden="false" customHeight="false" outlineLevel="0" collapsed="false">
      <c r="B25" s="5" t="s">
        <v>19</v>
      </c>
    </row>
    <row r="27" customFormat="false" ht="15" hidden="false" customHeight="false" outlineLevel="0" collapsed="false">
      <c r="B27" s="5" t="s">
        <v>20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6"/>
    <col collapsed="false" customWidth="true" hidden="false" outlineLevel="0" max="5" min="3" style="0" width="16"/>
    <col collapsed="false" customWidth="true" hidden="false" outlineLevel="0" max="6" min="6" style="0" width="52"/>
  </cols>
  <sheetData>
    <row r="2" customFormat="false" ht="32.8" hidden="false" customHeight="false" outlineLevel="0" collapsed="false">
      <c r="B2" s="1" t="s">
        <v>21</v>
      </c>
    </row>
    <row r="4" customFormat="false" ht="43.5" hidden="false" customHeight="true" outlineLevel="0" collapsed="false">
      <c r="B4" s="6" t="s">
        <v>22</v>
      </c>
      <c r="C4" s="6"/>
      <c r="D4" s="6"/>
      <c r="E4" s="6"/>
      <c r="F4" s="6"/>
    </row>
    <row r="6" customFormat="false" ht="15" hidden="false" customHeight="false" outlineLevel="0" collapsed="false">
      <c r="B6" s="3" t="s">
        <v>23</v>
      </c>
    </row>
    <row r="7" customFormat="false" ht="27.75" hidden="false" customHeight="true" outlineLevel="0" collapsed="false">
      <c r="B7" s="7" t="s">
        <v>24</v>
      </c>
      <c r="C7" s="7" t="s">
        <v>25</v>
      </c>
      <c r="D7" s="7" t="s">
        <v>26</v>
      </c>
      <c r="E7" s="7" t="s">
        <v>27</v>
      </c>
      <c r="F7" s="7" t="s">
        <v>28</v>
      </c>
    </row>
    <row r="8" customFormat="false" ht="15" hidden="false" customHeight="false" outlineLevel="0" collapsed="false">
      <c r="B8" s="8" t="s">
        <v>29</v>
      </c>
      <c r="C8" s="9" t="n">
        <v>4820000</v>
      </c>
      <c r="D8" s="9" t="n">
        <v>0</v>
      </c>
      <c r="E8" s="10" t="n">
        <f aca="false">C8+D8</f>
        <v>4820000</v>
      </c>
      <c r="F8" s="5" t="s">
        <v>30</v>
      </c>
    </row>
    <row r="9" customFormat="false" ht="22.35" hidden="false" customHeight="false" outlineLevel="0" collapsed="false">
      <c r="B9" s="8" t="s">
        <v>31</v>
      </c>
      <c r="C9" s="9" t="n">
        <v>0</v>
      </c>
      <c r="D9" s="9" t="n">
        <v>96000</v>
      </c>
      <c r="E9" s="10" t="n">
        <f aca="false">C9+D9</f>
        <v>96000</v>
      </c>
      <c r="F9" s="5" t="s">
        <v>32</v>
      </c>
    </row>
    <row r="10" customFormat="false" ht="22.35" hidden="false" customHeight="false" outlineLevel="0" collapsed="false">
      <c r="B10" s="8" t="s">
        <v>33</v>
      </c>
      <c r="C10" s="9" t="n">
        <v>612000</v>
      </c>
      <c r="D10" s="9" t="n">
        <v>-38000</v>
      </c>
      <c r="E10" s="10" t="n">
        <f aca="false">C10+D10</f>
        <v>574000</v>
      </c>
      <c r="F10" s="5" t="s">
        <v>34</v>
      </c>
    </row>
    <row r="11" customFormat="false" ht="22.35" hidden="false" customHeight="false" outlineLevel="0" collapsed="false">
      <c r="B11" s="8" t="s">
        <v>35</v>
      </c>
      <c r="C11" s="9" t="n">
        <v>84000</v>
      </c>
      <c r="D11" s="9" t="n">
        <v>-84000</v>
      </c>
      <c r="E11" s="10" t="n">
        <f aca="false">C11+D11</f>
        <v>0</v>
      </c>
      <c r="F11" s="5" t="s">
        <v>36</v>
      </c>
    </row>
    <row r="12" customFormat="false" ht="15" hidden="false" customHeight="false" outlineLevel="0" collapsed="false">
      <c r="B12" s="8" t="s">
        <v>37</v>
      </c>
      <c r="C12" s="9" t="n">
        <v>146000</v>
      </c>
      <c r="D12" s="9" t="n">
        <v>-52000</v>
      </c>
      <c r="E12" s="10" t="n">
        <f aca="false">C12+D12</f>
        <v>94000</v>
      </c>
      <c r="F12" s="5" t="s">
        <v>38</v>
      </c>
    </row>
    <row r="13" customFormat="false" ht="15" hidden="false" customHeight="false" outlineLevel="0" collapsed="false">
      <c r="B13" s="8" t="s">
        <v>39</v>
      </c>
      <c r="C13" s="9" t="n">
        <v>71000</v>
      </c>
      <c r="D13" s="9" t="n">
        <v>-71000</v>
      </c>
      <c r="E13" s="10" t="n">
        <f aca="false">C13+D13</f>
        <v>0</v>
      </c>
      <c r="F13" s="5" t="s">
        <v>40</v>
      </c>
    </row>
    <row r="14" customFormat="false" ht="22.35" hidden="false" customHeight="false" outlineLevel="0" collapsed="false">
      <c r="B14" s="8" t="s">
        <v>41</v>
      </c>
      <c r="C14" s="9" t="n">
        <v>-231000</v>
      </c>
      <c r="D14" s="9" t="n">
        <v>-96000</v>
      </c>
      <c r="E14" s="10" t="n">
        <f aca="false">C14+D14</f>
        <v>-327000</v>
      </c>
      <c r="F14" s="5" t="s">
        <v>42</v>
      </c>
    </row>
    <row r="15" customFormat="false" ht="15" hidden="false" customHeight="false" outlineLevel="0" collapsed="false">
      <c r="B15" s="8" t="s">
        <v>43</v>
      </c>
      <c r="C15" s="9" t="n">
        <v>-64000</v>
      </c>
      <c r="D15" s="9" t="n">
        <v>-58000</v>
      </c>
      <c r="E15" s="10" t="n">
        <f aca="false">C15+D15</f>
        <v>-122000</v>
      </c>
      <c r="F15" s="5" t="s">
        <v>44</v>
      </c>
    </row>
    <row r="16" customFormat="false" ht="15" hidden="false" customHeight="false" outlineLevel="0" collapsed="false">
      <c r="B16" s="11" t="s">
        <v>45</v>
      </c>
      <c r="C16" s="12" t="n">
        <f aca="false">SUM(C8:C15)</f>
        <v>5438000</v>
      </c>
      <c r="D16" s="12" t="n">
        <f aca="false">SUM(D8:D15)</f>
        <v>-303000</v>
      </c>
      <c r="E16" s="12" t="n">
        <f aca="false">SUM(E8:E15)</f>
        <v>5135000</v>
      </c>
    </row>
    <row r="18" customFormat="false" ht="15" hidden="false" customHeight="false" outlineLevel="0" collapsed="false">
      <c r="B18" s="3" t="s">
        <v>46</v>
      </c>
    </row>
    <row r="19" customFormat="false" ht="27.75" hidden="false" customHeight="true" outlineLevel="0" collapsed="false">
      <c r="B19" s="7" t="s">
        <v>24</v>
      </c>
      <c r="C19" s="7" t="s">
        <v>25</v>
      </c>
      <c r="D19" s="7" t="s">
        <v>26</v>
      </c>
      <c r="E19" s="7" t="s">
        <v>27</v>
      </c>
      <c r="F19" s="7" t="s">
        <v>47</v>
      </c>
    </row>
    <row r="20" customFormat="false" ht="22.35" hidden="false" customHeight="false" outlineLevel="0" collapsed="false">
      <c r="B20" s="8" t="s">
        <v>48</v>
      </c>
      <c r="C20" s="9" t="n">
        <v>-386000</v>
      </c>
      <c r="D20" s="9" t="n">
        <v>-24000</v>
      </c>
      <c r="E20" s="10" t="n">
        <f aca="false">C20+D20</f>
        <v>-410000</v>
      </c>
      <c r="F20" s="5" t="s">
        <v>49</v>
      </c>
    </row>
    <row r="21" customFormat="false" ht="22.35" hidden="false" customHeight="false" outlineLevel="0" collapsed="false">
      <c r="B21" s="8" t="s">
        <v>50</v>
      </c>
      <c r="C21" s="9" t="n">
        <v>-298000</v>
      </c>
      <c r="D21" s="9" t="n">
        <v>-74000</v>
      </c>
      <c r="E21" s="10" t="n">
        <f aca="false">C21+D21</f>
        <v>-372000</v>
      </c>
      <c r="F21" s="5" t="s">
        <v>51</v>
      </c>
    </row>
    <row r="22" customFormat="false" ht="15" hidden="false" customHeight="false" outlineLevel="0" collapsed="false">
      <c r="B22" s="8" t="s">
        <v>52</v>
      </c>
      <c r="C22" s="9" t="n">
        <v>-172000</v>
      </c>
      <c r="D22" s="9" t="n">
        <v>-9000</v>
      </c>
      <c r="E22" s="10" t="n">
        <f aca="false">C22+D22</f>
        <v>-181000</v>
      </c>
      <c r="F22" s="5" t="s">
        <v>53</v>
      </c>
    </row>
    <row r="23" customFormat="false" ht="22.35" hidden="false" customHeight="false" outlineLevel="0" collapsed="false">
      <c r="B23" s="8" t="s">
        <v>54</v>
      </c>
      <c r="C23" s="9" t="n">
        <v>-241000</v>
      </c>
      <c r="D23" s="9" t="n">
        <v>-18000</v>
      </c>
      <c r="E23" s="10" t="n">
        <f aca="false">C23+D23</f>
        <v>-259000</v>
      </c>
      <c r="F23" s="5" t="s">
        <v>55</v>
      </c>
    </row>
    <row r="24" customFormat="false" ht="22.35" hidden="false" customHeight="false" outlineLevel="0" collapsed="false">
      <c r="B24" s="8" t="s">
        <v>56</v>
      </c>
      <c r="C24" s="9" t="n">
        <v>-604000</v>
      </c>
      <c r="D24" s="9" t="n">
        <v>-171000</v>
      </c>
      <c r="E24" s="10" t="n">
        <f aca="false">C24+D24</f>
        <v>-775000</v>
      </c>
      <c r="F24" s="5" t="s">
        <v>57</v>
      </c>
    </row>
    <row r="25" customFormat="false" ht="22.35" hidden="false" customHeight="false" outlineLevel="0" collapsed="false">
      <c r="B25" s="8" t="s">
        <v>58</v>
      </c>
      <c r="C25" s="9" t="n">
        <v>-188000</v>
      </c>
      <c r="D25" s="9" t="n">
        <v>-79000</v>
      </c>
      <c r="E25" s="10" t="n">
        <f aca="false">C25+D25</f>
        <v>-267000</v>
      </c>
      <c r="F25" s="5" t="s">
        <v>59</v>
      </c>
    </row>
    <row r="26" customFormat="false" ht="15" hidden="false" customHeight="false" outlineLevel="0" collapsed="false">
      <c r="B26" s="8" t="s">
        <v>60</v>
      </c>
      <c r="C26" s="9" t="n">
        <v>-96000</v>
      </c>
      <c r="D26" s="9" t="n">
        <v>-6000</v>
      </c>
      <c r="E26" s="10" t="n">
        <f aca="false">C26+D26</f>
        <v>-102000</v>
      </c>
      <c r="F26" s="5"/>
    </row>
    <row r="27" customFormat="false" ht="15" hidden="false" customHeight="false" outlineLevel="0" collapsed="false">
      <c r="B27" s="8" t="s">
        <v>61</v>
      </c>
      <c r="C27" s="9" t="n">
        <v>-152000</v>
      </c>
      <c r="D27" s="9" t="n">
        <v>-11000</v>
      </c>
      <c r="E27" s="10" t="n">
        <f aca="false">C27+D27</f>
        <v>-163000</v>
      </c>
      <c r="F27" s="5" t="s">
        <v>62</v>
      </c>
    </row>
    <row r="28" customFormat="false" ht="15" hidden="false" customHeight="false" outlineLevel="0" collapsed="false">
      <c r="B28" s="8" t="s">
        <v>63</v>
      </c>
      <c r="C28" s="9" t="n">
        <v>44000</v>
      </c>
      <c r="D28" s="9" t="n">
        <v>-44000</v>
      </c>
      <c r="E28" s="10" t="n">
        <f aca="false">C28+D28</f>
        <v>0</v>
      </c>
      <c r="F28" s="5" t="s">
        <v>64</v>
      </c>
    </row>
    <row r="29" customFormat="false" ht="15" hidden="false" customHeight="false" outlineLevel="0" collapsed="false">
      <c r="B29" s="11" t="s">
        <v>65</v>
      </c>
      <c r="C29" s="12" t="n">
        <f aca="false">SUM(C20:C28)</f>
        <v>-2093000</v>
      </c>
      <c r="D29" s="12" t="n">
        <f aca="false">SUM(D20:D28)</f>
        <v>-436000</v>
      </c>
      <c r="E29" s="12" t="n">
        <f aca="false">SUM(E20:E28)</f>
        <v>-2529000</v>
      </c>
    </row>
    <row r="31" customFormat="false" ht="15" hidden="false" customHeight="false" outlineLevel="0" collapsed="false">
      <c r="B31" s="11" t="s">
        <v>66</v>
      </c>
      <c r="C31" s="12" t="n">
        <f aca="false">SUM(C8:C15)+SUM(C20:C28)</f>
        <v>3345000</v>
      </c>
      <c r="D31" s="12" t="n">
        <f aca="false">SUM(D8:D15)+SUM(D20:D28)</f>
        <v>-739000</v>
      </c>
      <c r="E31" s="12" t="n">
        <f aca="false">SUM(E8:E15)+SUM(E20:E28)</f>
        <v>2606000</v>
      </c>
    </row>
    <row r="32" customFormat="false" ht="22.35" hidden="false" customHeight="false" outlineLevel="0" collapsed="false">
      <c r="B32" s="8" t="s">
        <v>67</v>
      </c>
      <c r="E32" s="13" t="n">
        <f aca="false">IFERROR($E$31/$C$31,0)</f>
        <v>0.779073243647235</v>
      </c>
      <c r="F32" s="5" t="s">
        <v>68</v>
      </c>
    </row>
    <row r="33" customFormat="false" ht="15" hidden="false" customHeight="false" outlineLevel="0" collapsed="false">
      <c r="B33" s="8" t="s">
        <v>69</v>
      </c>
      <c r="E33" s="13" t="n">
        <f aca="false">IFERROR(-$E$29/$E$16,0)</f>
        <v>0.492502434274586</v>
      </c>
    </row>
    <row r="35" customFormat="false" ht="15" hidden="false" customHeight="false" outlineLevel="0" collapsed="false">
      <c r="B35" s="3" t="s">
        <v>70</v>
      </c>
    </row>
    <row r="36" customFormat="false" ht="31.5" hidden="false" customHeight="true" outlineLevel="0" collapsed="false">
      <c r="B36" s="6" t="s">
        <v>71</v>
      </c>
      <c r="C36" s="6"/>
      <c r="D36" s="6"/>
      <c r="E36" s="6"/>
      <c r="F36" s="6"/>
    </row>
    <row r="38" customFormat="false" ht="27.75" hidden="false" customHeight="true" outlineLevel="0" collapsed="false">
      <c r="B38" s="7" t="s">
        <v>72</v>
      </c>
      <c r="C38" s="7" t="s">
        <v>73</v>
      </c>
      <c r="D38" s="7" t="s">
        <v>74</v>
      </c>
      <c r="F38" s="7" t="s">
        <v>75</v>
      </c>
    </row>
    <row r="39" customFormat="false" ht="22.35" hidden="false" customHeight="false" outlineLevel="0" collapsed="false">
      <c r="B39" s="8" t="s">
        <v>76</v>
      </c>
      <c r="C39" s="14" t="n">
        <v>3</v>
      </c>
      <c r="D39" s="15" t="n">
        <v>1</v>
      </c>
      <c r="F39" s="5" t="s">
        <v>77</v>
      </c>
    </row>
    <row r="40" customFormat="false" ht="22.35" hidden="false" customHeight="false" outlineLevel="0" collapsed="false">
      <c r="B40" s="8" t="s">
        <v>78</v>
      </c>
      <c r="C40" s="14" t="n">
        <v>2</v>
      </c>
      <c r="D40" s="15" t="n">
        <v>1</v>
      </c>
      <c r="F40" s="5" t="s">
        <v>79</v>
      </c>
    </row>
    <row r="41" customFormat="false" ht="15" hidden="false" customHeight="false" outlineLevel="0" collapsed="false">
      <c r="B41" s="8" t="s">
        <v>80</v>
      </c>
      <c r="C41" s="14" t="n">
        <v>4</v>
      </c>
      <c r="D41" s="15" t="n">
        <v>1</v>
      </c>
      <c r="F41" s="5" t="s">
        <v>81</v>
      </c>
    </row>
    <row r="42" customFormat="false" ht="15" hidden="false" customHeight="false" outlineLevel="0" collapsed="false">
      <c r="B42" s="8" t="s">
        <v>82</v>
      </c>
      <c r="C42" s="14" t="n">
        <v>3</v>
      </c>
      <c r="D42" s="15" t="n">
        <v>1</v>
      </c>
      <c r="F42" s="5" t="s">
        <v>83</v>
      </c>
    </row>
    <row r="43" customFormat="false" ht="15" hidden="false" customHeight="false" outlineLevel="0" collapsed="false">
      <c r="B43" s="8" t="s">
        <v>84</v>
      </c>
      <c r="C43" s="14" t="n">
        <v>3</v>
      </c>
      <c r="D43" s="15" t="n">
        <v>1</v>
      </c>
      <c r="F43" s="5" t="s">
        <v>85</v>
      </c>
    </row>
    <row r="44" customFormat="false" ht="22.35" hidden="false" customHeight="false" outlineLevel="0" collapsed="false">
      <c r="B44" s="8" t="s">
        <v>86</v>
      </c>
      <c r="C44" s="14" t="n">
        <v>2</v>
      </c>
      <c r="D44" s="15" t="n">
        <v>1</v>
      </c>
      <c r="F44" s="5" t="s">
        <v>87</v>
      </c>
    </row>
    <row r="45" customFormat="false" ht="15" hidden="false" customHeight="false" outlineLevel="0" collapsed="false">
      <c r="B45" s="11" t="s">
        <v>88</v>
      </c>
      <c r="C45" s="16" t="n">
        <f aca="false">IFERROR(SUMPRODUCT(C39:C44,D39:D44)/SUM(D39:D44),0)</f>
        <v>2.83333333333333</v>
      </c>
    </row>
    <row r="46" customFormat="false" ht="32.8" hidden="false" customHeight="false" outlineLevel="0" collapsed="false">
      <c r="B46" s="8" t="s">
        <v>89</v>
      </c>
      <c r="C46" s="17" t="n">
        <f aca="false">IFERROR(MAX(0,(4-$C$45))*0.0025,0)</f>
        <v>0.00291666666666667</v>
      </c>
      <c r="F46" s="5" t="s">
        <v>90</v>
      </c>
    </row>
    <row r="47" customFormat="false" ht="15" hidden="false" customHeight="false" outlineLevel="0" collapsed="false">
      <c r="B47" s="8" t="s">
        <v>91</v>
      </c>
      <c r="C47" s="17" t="n">
        <f aca="false">IFERROR(MAX(0,(4-$C$45))*0.0015,0)</f>
        <v>0.00175</v>
      </c>
    </row>
    <row r="48" customFormat="false" ht="15" hidden="false" customHeight="false" outlineLevel="0" collapsed="false">
      <c r="B48" s="8" t="s">
        <v>92</v>
      </c>
      <c r="C48" s="4" t="str">
        <f aca="false">IF($C$45&gt;=4,"Durable",IF($C$45&gt;=3,"Acceptable with disclosure","Price the risk or pass"))</f>
        <v>Price the risk or pass</v>
      </c>
    </row>
  </sheetData>
  <mergeCells count="2">
    <mergeCell ref="B4:F4"/>
    <mergeCell ref="B36:F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M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11" min="3" style="0" width="14"/>
    <col collapsed="false" customWidth="true" hidden="false" outlineLevel="0" max="12" min="12" style="0" width="13"/>
    <col collapsed="false" customWidth="true" hidden="false" outlineLevel="0" max="13" min="13" style="0" width="34"/>
  </cols>
  <sheetData>
    <row r="2" customFormat="false" ht="32.8" hidden="false" customHeight="false" outlineLevel="0" collapsed="false">
      <c r="B2" s="1" t="s">
        <v>93</v>
      </c>
    </row>
    <row r="4" customFormat="false" ht="43.5" hidden="false" customHeight="true" outlineLevel="0" collapsed="false">
      <c r="B4" s="6" t="s">
        <v>94</v>
      </c>
      <c r="C4" s="6"/>
      <c r="D4" s="6"/>
      <c r="E4" s="6"/>
      <c r="F4" s="6"/>
      <c r="G4" s="6"/>
      <c r="H4" s="6"/>
      <c r="I4" s="6"/>
      <c r="J4" s="6"/>
      <c r="K4" s="6"/>
      <c r="L4" s="6"/>
      <c r="M4" s="6"/>
    </row>
    <row r="6" customFormat="false" ht="27.75" hidden="false" customHeight="true" outlineLevel="0" collapsed="false">
      <c r="B6" s="7" t="s">
        <v>95</v>
      </c>
      <c r="C6" s="7" t="s">
        <v>96</v>
      </c>
      <c r="D6" s="7" t="s">
        <v>97</v>
      </c>
      <c r="E6" s="7" t="s">
        <v>98</v>
      </c>
      <c r="F6" s="7" t="s">
        <v>99</v>
      </c>
      <c r="G6" s="7" t="s">
        <v>100</v>
      </c>
      <c r="H6" s="7" t="s">
        <v>101</v>
      </c>
      <c r="I6" s="7" t="s">
        <v>102</v>
      </c>
      <c r="J6" s="7" t="s">
        <v>103</v>
      </c>
      <c r="K6" s="7" t="s">
        <v>104</v>
      </c>
      <c r="L6" s="7" t="s">
        <v>105</v>
      </c>
    </row>
    <row r="7" customFormat="false" ht="15" hidden="false" customHeight="false" outlineLevel="0" collapsed="false">
      <c r="B7" s="8" t="s">
        <v>106</v>
      </c>
      <c r="C7" s="18" t="n">
        <v>42000</v>
      </c>
      <c r="D7" s="19" t="n">
        <v>14.2</v>
      </c>
      <c r="E7" s="19" t="n">
        <v>15.5</v>
      </c>
      <c r="F7" s="14" t="n">
        <v>3</v>
      </c>
      <c r="G7" s="20" t="s">
        <v>107</v>
      </c>
      <c r="H7" s="21" t="n">
        <v>0.35</v>
      </c>
      <c r="I7" s="14" t="n">
        <v>12</v>
      </c>
      <c r="J7" s="10" t="n">
        <f aca="false">C7*D7</f>
        <v>596400</v>
      </c>
      <c r="K7" s="10" t="n">
        <f aca="false">C7*(E7-D7)</f>
        <v>54600</v>
      </c>
      <c r="L7" s="10" t="n">
        <f aca="false">IF(D7=0,0,J7*(1-H7))</f>
        <v>387660</v>
      </c>
    </row>
    <row r="8" customFormat="false" ht="15" hidden="false" customHeight="false" outlineLevel="0" collapsed="false">
      <c r="B8" s="8" t="s">
        <v>108</v>
      </c>
      <c r="C8" s="18" t="n">
        <v>28500</v>
      </c>
      <c r="D8" s="19" t="n">
        <v>16.8</v>
      </c>
      <c r="E8" s="19" t="n">
        <v>17.4</v>
      </c>
      <c r="F8" s="14" t="n">
        <v>7</v>
      </c>
      <c r="G8" s="20" t="s">
        <v>109</v>
      </c>
      <c r="H8" s="21" t="n">
        <v>0.85</v>
      </c>
      <c r="I8" s="14" t="n">
        <v>6</v>
      </c>
      <c r="J8" s="10" t="n">
        <f aca="false">C8*D8</f>
        <v>478800</v>
      </c>
      <c r="K8" s="10" t="n">
        <f aca="false">C8*(E8-D8)</f>
        <v>17099.9999999999</v>
      </c>
      <c r="L8" s="10" t="n">
        <f aca="false">IF(D8=0,0,J8*(1-H8))</f>
        <v>71820</v>
      </c>
    </row>
    <row r="9" customFormat="false" ht="15" hidden="false" customHeight="false" outlineLevel="0" collapsed="false">
      <c r="B9" s="8" t="s">
        <v>110</v>
      </c>
      <c r="C9" s="18" t="n">
        <v>18200</v>
      </c>
      <c r="D9" s="19" t="n">
        <v>13.1</v>
      </c>
      <c r="E9" s="19" t="n">
        <v>16.9</v>
      </c>
      <c r="F9" s="14" t="n">
        <v>4</v>
      </c>
      <c r="G9" s="20" t="s">
        <v>109</v>
      </c>
      <c r="H9" s="21" t="n">
        <v>0.6</v>
      </c>
      <c r="I9" s="14" t="n">
        <v>9</v>
      </c>
      <c r="J9" s="10" t="n">
        <f aca="false">C9*D9</f>
        <v>238420</v>
      </c>
      <c r="K9" s="10" t="n">
        <f aca="false">C9*(E9-D9)</f>
        <v>69160</v>
      </c>
      <c r="L9" s="10" t="n">
        <f aca="false">IF(D9=0,0,J9*(1-H9))</f>
        <v>95368</v>
      </c>
    </row>
    <row r="10" customFormat="false" ht="15" hidden="false" customHeight="false" outlineLevel="0" collapsed="false">
      <c r="B10" s="8" t="s">
        <v>111</v>
      </c>
      <c r="C10" s="18" t="n">
        <v>3400</v>
      </c>
      <c r="D10" s="19" t="n">
        <v>32.5</v>
      </c>
      <c r="E10" s="19" t="n">
        <v>34</v>
      </c>
      <c r="F10" s="14" t="n">
        <v>5</v>
      </c>
      <c r="G10" s="20" t="s">
        <v>109</v>
      </c>
      <c r="H10" s="21" t="n">
        <v>0.8</v>
      </c>
      <c r="I10" s="14" t="n">
        <v>6</v>
      </c>
      <c r="J10" s="10" t="n">
        <f aca="false">C10*D10</f>
        <v>110500</v>
      </c>
      <c r="K10" s="10" t="n">
        <f aca="false">C10*(E10-D10)</f>
        <v>5100</v>
      </c>
      <c r="L10" s="10" t="n">
        <f aca="false">IF(D10=0,0,J10*(1-H10))</f>
        <v>22100</v>
      </c>
    </row>
    <row r="11" customFormat="false" ht="15" hidden="false" customHeight="false" outlineLevel="0" collapsed="false">
      <c r="B11" s="8" t="s">
        <v>112</v>
      </c>
      <c r="C11" s="18" t="n">
        <v>12800</v>
      </c>
      <c r="D11" s="19" t="n">
        <v>19.4</v>
      </c>
      <c r="E11" s="19" t="n">
        <v>18.2</v>
      </c>
      <c r="F11" s="14" t="n">
        <v>6</v>
      </c>
      <c r="G11" s="20" t="s">
        <v>109</v>
      </c>
      <c r="H11" s="21" t="n">
        <v>0.7</v>
      </c>
      <c r="I11" s="14" t="n">
        <v>6</v>
      </c>
      <c r="J11" s="10" t="n">
        <f aca="false">C11*D11</f>
        <v>248320</v>
      </c>
      <c r="K11" s="10" t="n">
        <f aca="false">C11*(E11-D11)</f>
        <v>-15360</v>
      </c>
      <c r="L11" s="10" t="n">
        <f aca="false">IF(D11=0,0,J11*(1-H11))</f>
        <v>74496</v>
      </c>
    </row>
    <row r="12" customFormat="false" ht="15" hidden="false" customHeight="false" outlineLevel="0" collapsed="false">
      <c r="B12" s="8" t="s">
        <v>113</v>
      </c>
      <c r="C12" s="18" t="n">
        <v>14600</v>
      </c>
      <c r="D12" s="19" t="n">
        <v>21.6</v>
      </c>
      <c r="E12" s="19" t="n">
        <v>23.8</v>
      </c>
      <c r="F12" s="14" t="n">
        <v>2</v>
      </c>
      <c r="G12" s="20" t="s">
        <v>109</v>
      </c>
      <c r="H12" s="21" t="n">
        <v>0.55</v>
      </c>
      <c r="I12" s="14" t="n">
        <v>4</v>
      </c>
      <c r="J12" s="10" t="n">
        <f aca="false">C12*D12</f>
        <v>315360</v>
      </c>
      <c r="K12" s="10" t="n">
        <f aca="false">C12*(E12-D12)</f>
        <v>32120</v>
      </c>
      <c r="L12" s="10" t="n">
        <f aca="false">IF(D12=0,0,J12*(1-H12))</f>
        <v>141912</v>
      </c>
    </row>
    <row r="13" customFormat="false" ht="15" hidden="false" customHeight="false" outlineLevel="0" collapsed="false">
      <c r="B13" s="8" t="s">
        <v>114</v>
      </c>
      <c r="C13" s="18" t="n">
        <v>9100</v>
      </c>
      <c r="D13" s="19" t="n">
        <v>0</v>
      </c>
      <c r="E13" s="19" t="n">
        <v>22</v>
      </c>
      <c r="F13" s="14" t="n">
        <v>0</v>
      </c>
      <c r="G13" s="20" t="s">
        <v>107</v>
      </c>
      <c r="H13" s="21" t="n">
        <v>0</v>
      </c>
      <c r="I13" s="14" t="n">
        <v>0</v>
      </c>
      <c r="J13" s="10" t="n">
        <f aca="false">C13*D13</f>
        <v>0</v>
      </c>
      <c r="K13" s="10" t="n">
        <f aca="false">C13*(E13-D13)</f>
        <v>200200</v>
      </c>
      <c r="L13" s="10" t="n">
        <f aca="false">IF(D13=0,0,J13*(1-H13))</f>
        <v>0</v>
      </c>
    </row>
    <row r="14" customFormat="false" ht="15" hidden="false" customHeight="false" outlineLevel="0" collapsed="false">
      <c r="B14" s="11" t="s">
        <v>115</v>
      </c>
      <c r="C14" s="22" t="n">
        <f aca="false">SUM(C7:C13)</f>
        <v>128600</v>
      </c>
      <c r="J14" s="12" t="n">
        <f aca="false">SUM(J7:J13)</f>
        <v>1987800</v>
      </c>
      <c r="K14" s="12" t="n">
        <f aca="false">SUM(K7:K13)</f>
        <v>362920</v>
      </c>
      <c r="L14" s="12" t="n">
        <f aca="false">SUM(L7:L13)</f>
        <v>793356</v>
      </c>
    </row>
    <row r="16" customFormat="false" ht="26.85" hidden="false" customHeight="false" outlineLevel="0" collapsed="false">
      <c r="B16" s="3" t="s">
        <v>116</v>
      </c>
    </row>
    <row r="17" customFormat="false" ht="27.75" hidden="false" customHeight="true" outlineLevel="0" collapsed="false">
      <c r="B17" s="7" t="s">
        <v>117</v>
      </c>
      <c r="C17" s="7" t="s">
        <v>118</v>
      </c>
      <c r="M17" s="7" t="s">
        <v>119</v>
      </c>
    </row>
    <row r="18" customFormat="false" ht="22.35" hidden="false" customHeight="false" outlineLevel="0" collapsed="false">
      <c r="B18" s="8" t="s">
        <v>120</v>
      </c>
      <c r="C18" s="13" t="n">
        <f aca="false">IFERROR(SUMIF($D$7:$D$13,"&gt;0",$C$7:$C$13)/$C$14,0)</f>
        <v>0.929237947122862</v>
      </c>
      <c r="M18" s="5" t="s">
        <v>121</v>
      </c>
    </row>
    <row r="19" customFormat="false" ht="22.35" hidden="false" customHeight="false" outlineLevel="0" collapsed="false">
      <c r="B19" s="8" t="s">
        <v>122</v>
      </c>
      <c r="C19" s="13" t="n">
        <f aca="false">IFERROR(SUMIFS($C$7:$C$13,$G$7:$G$13,"Yes")/$C$14,0)</f>
        <v>0.602643856920684</v>
      </c>
      <c r="M19" s="5" t="s">
        <v>123</v>
      </c>
    </row>
    <row r="20" customFormat="false" ht="22.35" hidden="false" customHeight="false" outlineLevel="0" collapsed="false">
      <c r="B20" s="8" t="s">
        <v>124</v>
      </c>
      <c r="C20" s="13" t="n">
        <f aca="false">IFERROR(SUMIF($D$7:$D$13,"&gt;0",$C$7:$C$13)/$C$14-SUMIFS($C$7:$C$13,$G$7:$G$13,"Yes")/$C$14,0)</f>
        <v>0.326594090202177</v>
      </c>
      <c r="M20" s="5" t="s">
        <v>125</v>
      </c>
    </row>
    <row r="21" customFormat="false" ht="15" hidden="false" customHeight="false" outlineLevel="0" collapsed="false">
      <c r="B21" s="8" t="s">
        <v>126</v>
      </c>
      <c r="C21" s="10" t="n">
        <f aca="false">$J$14</f>
        <v>1987800</v>
      </c>
      <c r="M21" s="5"/>
    </row>
    <row r="22" customFormat="false" ht="32.8" hidden="false" customHeight="false" outlineLevel="0" collapsed="false">
      <c r="B22" s="8" t="s">
        <v>127</v>
      </c>
      <c r="C22" s="10" t="n">
        <f aca="false">$K$14</f>
        <v>362920</v>
      </c>
      <c r="M22" s="5" t="s">
        <v>128</v>
      </c>
    </row>
    <row r="23" customFormat="false" ht="15" hidden="false" customHeight="false" outlineLevel="0" collapsed="false">
      <c r="B23" s="8" t="s">
        <v>129</v>
      </c>
      <c r="C23" s="13" t="n">
        <f aca="false">IFERROR($K$14/$J$14,0)</f>
        <v>0.182573699567361</v>
      </c>
      <c r="M23" s="5"/>
    </row>
    <row r="24" customFormat="false" ht="32.8" hidden="false" customHeight="false" outlineLevel="0" collapsed="false">
      <c r="B24" s="8" t="s">
        <v>130</v>
      </c>
      <c r="C24" s="10" t="n">
        <f aca="false">$L$14</f>
        <v>793356</v>
      </c>
      <c r="M24" s="5" t="s">
        <v>131</v>
      </c>
    </row>
    <row r="25" customFormat="false" ht="32.8" hidden="false" customHeight="false" outlineLevel="0" collapsed="false">
      <c r="B25" s="8" t="s">
        <v>132</v>
      </c>
      <c r="C25" s="13" t="n">
        <f aca="false">IFERROR(MAX($J$7:$J$13)/$J$14,0)</f>
        <v>0.300030184123151</v>
      </c>
      <c r="M25" s="5" t="s">
        <v>133</v>
      </c>
    </row>
    <row r="26" customFormat="false" ht="15" hidden="false" customHeight="false" outlineLevel="0" collapsed="false">
      <c r="B26" s="8" t="s">
        <v>134</v>
      </c>
      <c r="C26" s="23" t="n">
        <f aca="false">IFERROR(SUMPRODUCT($J$7:$J$13,$F$7:$F$13)/$J$14,0)</f>
        <v>4.41071536371868</v>
      </c>
      <c r="M26" s="5"/>
    </row>
    <row r="27" customFormat="false" ht="15" hidden="false" customHeight="false" outlineLevel="0" collapsed="false">
      <c r="B27" s="8" t="s">
        <v>135</v>
      </c>
      <c r="C27" s="24" t="n">
        <f aca="false">IFERROR($J$14/SUMIF($D$7:$D$13,"&gt;0",$C$7:$C$13),0)</f>
        <v>16.634309623431</v>
      </c>
      <c r="M27" s="5" t="s">
        <v>136</v>
      </c>
    </row>
    <row r="29" customFormat="false" ht="15" hidden="false" customHeight="false" outlineLevel="0" collapsed="false">
      <c r="B29" s="3" t="s">
        <v>137</v>
      </c>
    </row>
    <row r="30" customFormat="false" ht="43.25" hidden="false" customHeight="false" outlineLevel="0" collapsed="false">
      <c r="B30" s="5" t="s">
        <v>138</v>
      </c>
    </row>
    <row r="32" customFormat="false" ht="27.75" hidden="false" customHeight="true" outlineLevel="0" collapsed="false">
      <c r="B32" s="7" t="s">
        <v>139</v>
      </c>
      <c r="C32" s="7" t="s">
        <v>140</v>
      </c>
      <c r="D32" s="7" t="s">
        <v>141</v>
      </c>
      <c r="E32" s="7" t="s">
        <v>142</v>
      </c>
      <c r="M32" s="7" t="s">
        <v>143</v>
      </c>
    </row>
    <row r="33" customFormat="false" ht="15" hidden="false" customHeight="false" outlineLevel="0" collapsed="false">
      <c r="B33" s="8" t="n">
        <v>1</v>
      </c>
      <c r="C33" s="10" t="n">
        <f aca="false">SUMIF($F$7:$F$13,B33,$J$7:$J$13)</f>
        <v>0</v>
      </c>
      <c r="D33" s="13" t="n">
        <f aca="false">IFERROR(C33/$J$14,0)</f>
        <v>0</v>
      </c>
      <c r="E33" s="13" t="n">
        <f aca="false">IFERROR(SUM($C$33:C33)/$J$14,0)</f>
        <v>0</v>
      </c>
      <c r="M33" s="4" t="str">
        <f aca="false">IF(D33&gt;=0.3,"Concentration — underwrite downtime and TI/LC explicitly","")</f>
        <v/>
      </c>
    </row>
    <row r="34" customFormat="false" ht="15" hidden="false" customHeight="false" outlineLevel="0" collapsed="false">
      <c r="B34" s="8" t="n">
        <v>2</v>
      </c>
      <c r="C34" s="10" t="n">
        <f aca="false">SUMIF($F$7:$F$13,B34,$J$7:$J$13)</f>
        <v>315360</v>
      </c>
      <c r="D34" s="13" t="n">
        <f aca="false">IFERROR(C34/$J$14,0)</f>
        <v>0.158647751282825</v>
      </c>
      <c r="E34" s="13" t="n">
        <f aca="false">IFERROR(SUM($C$33:C34)/$J$14,0)</f>
        <v>0.158647751282825</v>
      </c>
      <c r="M34" s="4" t="str">
        <f aca="false">IF(D34&gt;=0.3,"Concentration — underwrite downtime and TI/LC explicitly","")</f>
        <v/>
      </c>
    </row>
    <row r="35" customFormat="false" ht="15" hidden="false" customHeight="false" outlineLevel="0" collapsed="false">
      <c r="B35" s="8" t="n">
        <v>3</v>
      </c>
      <c r="C35" s="10" t="n">
        <f aca="false">SUMIF($F$7:$F$13,B35,$J$7:$J$13)</f>
        <v>596400</v>
      </c>
      <c r="D35" s="13" t="n">
        <f aca="false">IFERROR(C35/$J$14,0)</f>
        <v>0.300030184123151</v>
      </c>
      <c r="E35" s="13" t="n">
        <f aca="false">IFERROR(SUM($C$33:C35)/$J$14,0)</f>
        <v>0.458677935405976</v>
      </c>
      <c r="M35" s="4" t="str">
        <f aca="false">IF(D35&gt;=0.3,"Concentration — underwrite downtime and TI/LC explicitly","")</f>
        <v>Concentration — underwrite downtime and TI/LC explicitly</v>
      </c>
    </row>
    <row r="36" customFormat="false" ht="15" hidden="false" customHeight="false" outlineLevel="0" collapsed="false">
      <c r="B36" s="8" t="n">
        <v>4</v>
      </c>
      <c r="C36" s="10" t="n">
        <f aca="false">SUMIF($F$7:$F$13,B36,$J$7:$J$13)</f>
        <v>238420</v>
      </c>
      <c r="D36" s="13" t="n">
        <f aca="false">IFERROR(C36/$J$14,0)</f>
        <v>0.119941644028574</v>
      </c>
      <c r="E36" s="13" t="n">
        <f aca="false">IFERROR(SUM($C$33:C36)/$J$14,0)</f>
        <v>0.578619579434551</v>
      </c>
      <c r="M36" s="4" t="str">
        <f aca="false">IF(D36&gt;=0.3,"Concentration — underwrite downtime and TI/LC explicitly","")</f>
        <v/>
      </c>
    </row>
    <row r="37" customFormat="false" ht="15" hidden="false" customHeight="false" outlineLevel="0" collapsed="false">
      <c r="B37" s="8" t="n">
        <v>5</v>
      </c>
      <c r="C37" s="10" t="n">
        <f aca="false">SUMIF($F$7:$F$13,B37,$J$7:$J$13)</f>
        <v>110500</v>
      </c>
      <c r="D37" s="13" t="n">
        <f aca="false">IFERROR(C37/$J$14,0)</f>
        <v>0.055589093470168</v>
      </c>
      <c r="E37" s="13" t="n">
        <f aca="false">IFERROR(SUM($C$33:C37)/$J$14,0)</f>
        <v>0.634208672904719</v>
      </c>
      <c r="M37" s="4" t="str">
        <f aca="false">IF(D37&gt;=0.3,"Concentration — underwrite downtime and TI/LC explicitly","")</f>
        <v/>
      </c>
    </row>
    <row r="38" customFormat="false" ht="15" hidden="false" customHeight="false" outlineLevel="0" collapsed="false">
      <c r="B38" s="8" t="n">
        <v>6</v>
      </c>
      <c r="C38" s="10" t="n">
        <f aca="false">SUMIF($F$7:$F$13,B38,$J$7:$J$13)</f>
        <v>248320</v>
      </c>
      <c r="D38" s="13" t="n">
        <f aca="false">IFERROR(C38/$J$14,0)</f>
        <v>0.124922024348526</v>
      </c>
      <c r="E38" s="13" t="n">
        <f aca="false">IFERROR(SUM($C$33:C38)/$J$14,0)</f>
        <v>0.759130697253245</v>
      </c>
      <c r="M38" s="4" t="str">
        <f aca="false">IF(D38&gt;=0.3,"Concentration — underwrite downtime and TI/LC explicitly","")</f>
        <v/>
      </c>
    </row>
    <row r="39" customFormat="false" ht="15" hidden="false" customHeight="false" outlineLevel="0" collapsed="false">
      <c r="B39" s="8" t="n">
        <v>7</v>
      </c>
      <c r="C39" s="10" t="n">
        <f aca="false">SUMIF($F$7:$F$13,B39,$J$7:$J$13)</f>
        <v>478800</v>
      </c>
      <c r="D39" s="13" t="n">
        <f aca="false">IFERROR(C39/$J$14,0)</f>
        <v>0.240869302746755</v>
      </c>
      <c r="E39" s="13" t="n">
        <f aca="false">IFERROR(SUM($C$33:C39)/$J$14,0)</f>
        <v>1</v>
      </c>
      <c r="M39" s="4" t="str">
        <f aca="false">IF(D39&gt;=0.3,"Concentration — underwrite downtime and TI/LC explicitly","")</f>
        <v/>
      </c>
    </row>
    <row r="40" customFormat="false" ht="15" hidden="false" customHeight="false" outlineLevel="0" collapsed="false">
      <c r="B40" s="8" t="n">
        <v>8</v>
      </c>
      <c r="C40" s="10" t="n">
        <f aca="false">SUMIF($F$7:$F$13,B40,$J$7:$J$13)</f>
        <v>0</v>
      </c>
      <c r="D40" s="13" t="n">
        <f aca="false">IFERROR(C40/$J$14,0)</f>
        <v>0</v>
      </c>
      <c r="E40" s="13" t="n">
        <f aca="false">IFERROR(SUM($C$33:C40)/$J$14,0)</f>
        <v>1</v>
      </c>
      <c r="M40" s="4" t="str">
        <f aca="false">IF(D40&gt;=0.3,"Concentration — underwrite downtime and TI/LC explicitly","")</f>
        <v/>
      </c>
    </row>
    <row r="41" customFormat="false" ht="15" hidden="false" customHeight="false" outlineLevel="0" collapsed="false">
      <c r="B41" s="11" t="s">
        <v>144</v>
      </c>
      <c r="D41" s="25" t="n">
        <f aca="false">IFERROR(MAX(D33:D40),0)</f>
        <v>0.300030184123151</v>
      </c>
    </row>
  </sheetData>
  <mergeCells count="1">
    <mergeCell ref="B4:M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4"/>
    <col collapsed="false" customWidth="true" hidden="false" outlineLevel="0" max="7" min="3" style="0" width="16"/>
    <col collapsed="false" customWidth="true" hidden="false" outlineLevel="0" max="8" min="8" style="0" width="50"/>
  </cols>
  <sheetData>
    <row r="2" customFormat="false" ht="32.8" hidden="false" customHeight="false" outlineLevel="0" collapsed="false">
      <c r="B2" s="1" t="s">
        <v>145</v>
      </c>
    </row>
    <row r="4" customFormat="false" ht="43.5" hidden="false" customHeight="true" outlineLevel="0" collapsed="false">
      <c r="B4" s="6" t="s">
        <v>146</v>
      </c>
      <c r="C4" s="6"/>
      <c r="D4" s="6"/>
      <c r="E4" s="6"/>
      <c r="F4" s="6"/>
      <c r="G4" s="6"/>
      <c r="H4" s="6"/>
    </row>
    <row r="6" customFormat="false" ht="15" hidden="false" customHeight="false" outlineLevel="0" collapsed="false">
      <c r="B6" s="3" t="s">
        <v>147</v>
      </c>
    </row>
    <row r="7" customFormat="false" ht="27.75" hidden="false" customHeight="true" outlineLevel="0" collapsed="false">
      <c r="B7" s="7" t="s">
        <v>148</v>
      </c>
      <c r="C7" s="7" t="s">
        <v>149</v>
      </c>
      <c r="H7" s="7" t="s">
        <v>119</v>
      </c>
    </row>
    <row r="8" customFormat="false" ht="15" hidden="false" customHeight="false" outlineLevel="0" collapsed="false">
      <c r="B8" s="8" t="s">
        <v>150</v>
      </c>
      <c r="C8" s="9" t="n">
        <v>18400000</v>
      </c>
      <c r="H8" s="5"/>
    </row>
    <row r="9" customFormat="false" ht="15" hidden="false" customHeight="false" outlineLevel="0" collapsed="false">
      <c r="B9" s="8" t="s">
        <v>151</v>
      </c>
      <c r="C9" s="9" t="n">
        <v>44600000</v>
      </c>
      <c r="H9" s="5"/>
    </row>
    <row r="10" customFormat="false" ht="15" hidden="false" customHeight="false" outlineLevel="0" collapsed="false">
      <c r="B10" s="8" t="s">
        <v>152</v>
      </c>
      <c r="C10" s="9" t="n">
        <v>5800000</v>
      </c>
      <c r="H10" s="5"/>
    </row>
    <row r="11" customFormat="false" ht="15" hidden="false" customHeight="false" outlineLevel="0" collapsed="false">
      <c r="B11" s="8" t="s">
        <v>153</v>
      </c>
      <c r="C11" s="9" t="n">
        <v>4100000</v>
      </c>
      <c r="H11" s="5" t="s">
        <v>154</v>
      </c>
    </row>
    <row r="12" customFormat="false" ht="15" hidden="false" customHeight="false" outlineLevel="0" collapsed="false">
      <c r="B12" s="8" t="s">
        <v>155</v>
      </c>
      <c r="C12" s="9" t="n">
        <v>2400000</v>
      </c>
      <c r="H12" s="5" t="s">
        <v>156</v>
      </c>
    </row>
    <row r="13" customFormat="false" ht="15" hidden="false" customHeight="false" outlineLevel="0" collapsed="false">
      <c r="B13" s="8" t="s">
        <v>157</v>
      </c>
      <c r="C13" s="9" t="n">
        <v>3100000</v>
      </c>
      <c r="H13" s="5"/>
    </row>
    <row r="14" customFormat="false" ht="15" hidden="false" customHeight="false" outlineLevel="0" collapsed="false">
      <c r="B14" s="8" t="s">
        <v>158</v>
      </c>
      <c r="C14" s="9" t="n">
        <v>1600000</v>
      </c>
      <c r="H14" s="5"/>
    </row>
    <row r="15" customFormat="false" ht="15" hidden="false" customHeight="false" outlineLevel="0" collapsed="false">
      <c r="B15" s="11" t="s">
        <v>159</v>
      </c>
      <c r="C15" s="12" t="n">
        <f aca="false">SUM(C8:C14)</f>
        <v>80000000</v>
      </c>
    </row>
    <row r="16" customFormat="false" ht="22.35" hidden="false" customHeight="false" outlineLevel="0" collapsed="false">
      <c r="B16" s="8" t="s">
        <v>160</v>
      </c>
      <c r="C16" s="10" t="n">
        <f aca="false">80000000</f>
        <v>80000000</v>
      </c>
      <c r="H16" s="5" t="s">
        <v>161</v>
      </c>
    </row>
    <row r="18" customFormat="false" ht="15" hidden="false" customHeight="false" outlineLevel="0" collapsed="false">
      <c r="B18" s="3" t="s">
        <v>162</v>
      </c>
    </row>
    <row r="19" customFormat="false" ht="27.75" hidden="false" customHeight="true" outlineLevel="0" collapsed="false">
      <c r="B19" s="7"/>
      <c r="C19" s="7" t="s">
        <v>118</v>
      </c>
      <c r="H19" s="7" t="s">
        <v>119</v>
      </c>
    </row>
    <row r="20" customFormat="false" ht="15" hidden="false" customHeight="false" outlineLevel="0" collapsed="false">
      <c r="B20" s="8" t="s">
        <v>163</v>
      </c>
      <c r="C20" s="9" t="n">
        <v>5600000</v>
      </c>
      <c r="H20" s="5" t="s">
        <v>164</v>
      </c>
    </row>
    <row r="21" customFormat="false" ht="15" hidden="false" customHeight="false" outlineLevel="0" collapsed="false">
      <c r="B21" s="8" t="s">
        <v>165</v>
      </c>
      <c r="C21" s="26" t="n">
        <v>0.0575</v>
      </c>
      <c r="H21" s="5" t="s">
        <v>166</v>
      </c>
    </row>
    <row r="22" customFormat="false" ht="15" hidden="false" customHeight="false" outlineLevel="0" collapsed="false">
      <c r="B22" s="11" t="s">
        <v>167</v>
      </c>
      <c r="C22" s="27" t="n">
        <f aca="false">IFERROR($C$20/$C$15,0)</f>
        <v>0.07</v>
      </c>
      <c r="H22" s="5" t="s">
        <v>168</v>
      </c>
    </row>
    <row r="23" customFormat="false" ht="15" hidden="false" customHeight="false" outlineLevel="0" collapsed="false">
      <c r="B23" s="11" t="s">
        <v>169</v>
      </c>
      <c r="C23" s="12" t="n">
        <f aca="false">IFERROR($C$20/$C$21,0)</f>
        <v>97391304.3478261</v>
      </c>
      <c r="H23" s="5" t="s">
        <v>170</v>
      </c>
    </row>
    <row r="24" customFormat="false" ht="22.35" hidden="false" customHeight="false" outlineLevel="0" collapsed="false">
      <c r="B24" s="8" t="s">
        <v>171</v>
      </c>
      <c r="C24" s="17" t="n">
        <f aca="false">IFERROR($C$22-$C$21,0)</f>
        <v>0.0125</v>
      </c>
      <c r="H24" s="5" t="s">
        <v>172</v>
      </c>
    </row>
    <row r="25" customFormat="false" ht="15" hidden="false" customHeight="false" outlineLevel="0" collapsed="false">
      <c r="B25" s="8" t="s">
        <v>173</v>
      </c>
      <c r="C25" s="10" t="n">
        <f aca="false">IFERROR($C$23-$C$15,0)</f>
        <v>17391304.3478261</v>
      </c>
    </row>
    <row r="26" customFormat="false" ht="15" hidden="false" customHeight="false" outlineLevel="0" collapsed="false">
      <c r="B26" s="8" t="s">
        <v>174</v>
      </c>
      <c r="C26" s="13" t="n">
        <f aca="false">IFERROR($C$23/$C$15-1,0)</f>
        <v>0.217391304347826</v>
      </c>
    </row>
    <row r="27" customFormat="false" ht="22.35" hidden="false" customHeight="false" outlineLevel="0" collapsed="false">
      <c r="B27" s="8" t="s">
        <v>92</v>
      </c>
      <c r="C27" s="4" t="str">
        <f aca="false">IF($C$24&gt;=0.0125,"Adequate spread",IF($C$24&gt;=0.0075,"Thin — check the cost contingency and lease-up plan","Not compensated for development risk"))</f>
        <v>Adequate spread</v>
      </c>
      <c r="H27" s="5" t="s">
        <v>175</v>
      </c>
    </row>
    <row r="29" customFormat="false" ht="26.85" hidden="false" customHeight="false" outlineLevel="0" collapsed="false">
      <c r="B29" s="3" t="s">
        <v>176</v>
      </c>
    </row>
    <row r="30" customFormat="false" ht="27.75" hidden="false" customHeight="true" outlineLevel="0" collapsed="false">
      <c r="B30" s="7" t="s">
        <v>177</v>
      </c>
      <c r="C30" s="7" t="s">
        <v>178</v>
      </c>
      <c r="D30" s="7" t="s">
        <v>167</v>
      </c>
      <c r="E30" s="7" t="s">
        <v>179</v>
      </c>
      <c r="H30" s="7" t="s">
        <v>92</v>
      </c>
    </row>
    <row r="31" customFormat="false" ht="15" hidden="false" customHeight="false" outlineLevel="0" collapsed="false">
      <c r="B31" s="21" t="n">
        <v>0</v>
      </c>
      <c r="C31" s="10" t="n">
        <f aca="false">$C$15*(1+B31)</f>
        <v>80000000</v>
      </c>
      <c r="D31" s="17" t="n">
        <f aca="false">IFERROR($C$20/C31,0)</f>
        <v>0.07</v>
      </c>
      <c r="E31" s="17" t="n">
        <f aca="false">IFERROR(D31-$C$21,0)</f>
        <v>0.0125</v>
      </c>
      <c r="H31" s="4" t="str">
        <f aca="false">IF(E31&gt;=0.0125,"Adequate",IF(E31&gt;=0.0075,"Thin","Gone"))</f>
        <v>Adequate</v>
      </c>
    </row>
    <row r="32" customFormat="false" ht="15" hidden="false" customHeight="false" outlineLevel="0" collapsed="false">
      <c r="B32" s="21" t="n">
        <v>0.05</v>
      </c>
      <c r="C32" s="10" t="n">
        <f aca="false">$C$15*(1+B32)</f>
        <v>84000000</v>
      </c>
      <c r="D32" s="17" t="n">
        <f aca="false">IFERROR($C$20/C32,0)</f>
        <v>0.0666666666666667</v>
      </c>
      <c r="E32" s="17" t="n">
        <f aca="false">IFERROR(D32-$C$21,0)</f>
        <v>0.00916666666666666</v>
      </c>
      <c r="H32" s="4" t="str">
        <f aca="false">IF(E32&gt;=0.0125,"Adequate",IF(E32&gt;=0.0075,"Thin","Gone"))</f>
        <v>Thin</v>
      </c>
    </row>
    <row r="33" customFormat="false" ht="15" hidden="false" customHeight="false" outlineLevel="0" collapsed="false">
      <c r="B33" s="21" t="n">
        <v>0.1</v>
      </c>
      <c r="C33" s="10" t="n">
        <f aca="false">$C$15*(1+B33)</f>
        <v>88000000</v>
      </c>
      <c r="D33" s="17" t="n">
        <f aca="false">IFERROR($C$20/C33,0)</f>
        <v>0.0636363636363636</v>
      </c>
      <c r="E33" s="17" t="n">
        <f aca="false">IFERROR(D33-$C$21,0)</f>
        <v>0.00613636363636363</v>
      </c>
      <c r="H33" s="4" t="str">
        <f aca="false">IF(E33&gt;=0.0125,"Adequate",IF(E33&gt;=0.0075,"Thin","Gone"))</f>
        <v>Gone</v>
      </c>
    </row>
    <row r="34" customFormat="false" ht="15" hidden="false" customHeight="false" outlineLevel="0" collapsed="false">
      <c r="B34" s="21" t="n">
        <v>0.15</v>
      </c>
      <c r="C34" s="10" t="n">
        <f aca="false">$C$15*(1+B34)</f>
        <v>92000000</v>
      </c>
      <c r="D34" s="17" t="n">
        <f aca="false">IFERROR($C$20/C34,0)</f>
        <v>0.0608695652173913</v>
      </c>
      <c r="E34" s="17" t="n">
        <f aca="false">IFERROR(D34-$C$21,0)</f>
        <v>0.0033695652173913</v>
      </c>
      <c r="H34" s="4" t="str">
        <f aca="false">IF(E34&gt;=0.0125,"Adequate",IF(E34&gt;=0.0075,"Thin","Gone"))</f>
        <v>Gone</v>
      </c>
    </row>
    <row r="35" customFormat="false" ht="15" hidden="false" customHeight="false" outlineLevel="0" collapsed="false">
      <c r="B35" s="21" t="n">
        <v>0.2</v>
      </c>
      <c r="C35" s="10" t="n">
        <f aca="false">$C$15*(1+B35)</f>
        <v>96000000</v>
      </c>
      <c r="D35" s="17" t="n">
        <f aca="false">IFERROR($C$20/C35,0)</f>
        <v>0.0583333333333333</v>
      </c>
      <c r="E35" s="17" t="n">
        <f aca="false">IFERROR(D35-$C$21,0)</f>
        <v>0.000833333333333332</v>
      </c>
      <c r="H35" s="4" t="str">
        <f aca="false">IF(E35&gt;=0.0125,"Adequate",IF(E35&gt;=0.0075,"Thin","Gone"))</f>
        <v>Gone</v>
      </c>
    </row>
    <row r="37" customFormat="false" ht="31.5" hidden="false" customHeight="true" outlineLevel="0" collapsed="false">
      <c r="B37" s="6" t="s">
        <v>180</v>
      </c>
      <c r="C37" s="6"/>
      <c r="D37" s="6"/>
      <c r="E37" s="6"/>
      <c r="F37" s="6"/>
      <c r="G37" s="6"/>
      <c r="H37" s="6"/>
    </row>
    <row r="39" customFormat="false" ht="15" hidden="false" customHeight="false" outlineLevel="0" collapsed="false">
      <c r="B39" s="3" t="s">
        <v>181</v>
      </c>
    </row>
    <row r="40" customFormat="false" ht="27.75" hidden="false" customHeight="true" outlineLevel="0" collapsed="false">
      <c r="B40" s="7"/>
      <c r="C40" s="7" t="s">
        <v>118</v>
      </c>
      <c r="H40" s="7" t="s">
        <v>119</v>
      </c>
    </row>
    <row r="41" customFormat="false" ht="15" hidden="false" customHeight="false" outlineLevel="0" collapsed="false">
      <c r="B41" s="8" t="s">
        <v>182</v>
      </c>
      <c r="C41" s="10" t="n">
        <f aca="false">IFERROR(($C$21+0.0125)*$C$15,0)</f>
        <v>5600000</v>
      </c>
      <c r="H41" s="5" t="s">
        <v>183</v>
      </c>
    </row>
    <row r="42" customFormat="false" ht="15" hidden="false" customHeight="false" outlineLevel="0" collapsed="false">
      <c r="B42" s="8" t="s">
        <v>184</v>
      </c>
      <c r="C42" s="10" t="n">
        <f aca="false">IFERROR($C$20/($C$21+0.0125),0)</f>
        <v>80000000</v>
      </c>
    </row>
    <row r="43" customFormat="false" ht="32.8" hidden="false" customHeight="false" outlineLevel="0" collapsed="false">
      <c r="B43" s="8" t="s">
        <v>185</v>
      </c>
      <c r="C43" s="10" t="n">
        <f aca="false">IFERROR($C$20/($C$21+0.0125)-$C$15,0)</f>
        <v>0</v>
      </c>
      <c r="H43" s="5" t="s">
        <v>186</v>
      </c>
    </row>
    <row r="44" customFormat="false" ht="22.35" hidden="false" customHeight="false" outlineLevel="0" collapsed="false">
      <c r="B44" s="8" t="s">
        <v>187</v>
      </c>
      <c r="C44" s="17" t="n">
        <f aca="false">IFERROR($C$22-$C$21,0)</f>
        <v>0.0125</v>
      </c>
      <c r="H44" s="5" t="s">
        <v>188</v>
      </c>
    </row>
  </sheetData>
  <mergeCells count="2">
    <mergeCell ref="B4:H4"/>
    <mergeCell ref="B37:H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8" min="3" style="0" width="15"/>
    <col collapsed="false" customWidth="true" hidden="false" outlineLevel="0" max="9" min="9" style="0" width="48"/>
  </cols>
  <sheetData>
    <row r="2" customFormat="false" ht="32.8" hidden="false" customHeight="false" outlineLevel="0" collapsed="false">
      <c r="B2" s="1" t="s">
        <v>189</v>
      </c>
    </row>
    <row r="4" customFormat="false" ht="31.5" hidden="false" customHeight="true" outlineLevel="0" collapsed="false">
      <c r="B4" s="6" t="s">
        <v>190</v>
      </c>
      <c r="C4" s="6"/>
      <c r="D4" s="6"/>
      <c r="E4" s="6"/>
      <c r="F4" s="6"/>
      <c r="G4" s="6"/>
      <c r="H4" s="6"/>
      <c r="I4" s="6"/>
    </row>
    <row r="6" customFormat="false" ht="15" hidden="false" customHeight="false" outlineLevel="0" collapsed="false">
      <c r="B6" s="3" t="s">
        <v>191</v>
      </c>
    </row>
    <row r="7" customFormat="false" ht="27.75" hidden="false" customHeight="true" outlineLevel="0" collapsed="false">
      <c r="B7" s="7" t="s">
        <v>192</v>
      </c>
      <c r="C7" s="7" t="s">
        <v>118</v>
      </c>
      <c r="I7" s="7" t="s">
        <v>119</v>
      </c>
    </row>
    <row r="8" customFormat="false" ht="15" hidden="false" customHeight="false" outlineLevel="0" collapsed="false">
      <c r="B8" s="8" t="s">
        <v>159</v>
      </c>
      <c r="C8" s="28" t="n">
        <f aca="false">'Yield on Cost'!$C$15</f>
        <v>80000000</v>
      </c>
      <c r="I8" s="5" t="s">
        <v>193</v>
      </c>
    </row>
    <row r="9" customFormat="false" ht="15" hidden="false" customHeight="false" outlineLevel="0" collapsed="false">
      <c r="B9" s="8" t="s">
        <v>194</v>
      </c>
      <c r="C9" s="28" t="n">
        <f aca="false">'Yield on Cost'!$C$20</f>
        <v>5600000</v>
      </c>
      <c r="I9" s="5"/>
    </row>
    <row r="10" customFormat="false" ht="15" hidden="false" customHeight="false" outlineLevel="0" collapsed="false">
      <c r="B10" s="8" t="s">
        <v>195</v>
      </c>
      <c r="C10" s="21" t="n">
        <v>0.6</v>
      </c>
      <c r="I10" s="5" t="s">
        <v>196</v>
      </c>
    </row>
    <row r="11" customFormat="false" ht="15" hidden="false" customHeight="false" outlineLevel="0" collapsed="false">
      <c r="B11" s="8" t="s">
        <v>197</v>
      </c>
      <c r="C11" s="26" t="n">
        <v>0.06</v>
      </c>
      <c r="I11" s="5" t="s">
        <v>196</v>
      </c>
    </row>
    <row r="12" customFormat="false" ht="15" hidden="false" customHeight="false" outlineLevel="0" collapsed="false">
      <c r="B12" s="8" t="s">
        <v>198</v>
      </c>
      <c r="C12" s="26" t="n">
        <v>0.03</v>
      </c>
      <c r="I12" s="5"/>
    </row>
    <row r="13" customFormat="false" ht="15" hidden="false" customHeight="false" outlineLevel="0" collapsed="false">
      <c r="B13" s="8" t="s">
        <v>199</v>
      </c>
      <c r="C13" s="14" t="n">
        <v>5</v>
      </c>
      <c r="I13" s="5" t="s">
        <v>200</v>
      </c>
    </row>
    <row r="14" customFormat="false" ht="15" hidden="false" customHeight="false" outlineLevel="0" collapsed="false">
      <c r="B14" s="8" t="s">
        <v>201</v>
      </c>
      <c r="C14" s="29" t="n">
        <f aca="false">'Yield on Cost'!$C$21</f>
        <v>0.0575</v>
      </c>
      <c r="I14" s="5" t="s">
        <v>202</v>
      </c>
    </row>
    <row r="15" customFormat="false" ht="22.35" hidden="false" customHeight="false" outlineLevel="0" collapsed="false">
      <c r="B15" s="8" t="s">
        <v>203</v>
      </c>
      <c r="C15" s="21" t="n">
        <v>0.015</v>
      </c>
      <c r="I15" s="5" t="s">
        <v>204</v>
      </c>
    </row>
    <row r="17" customFormat="false" ht="15" hidden="false" customHeight="false" outlineLevel="0" collapsed="false">
      <c r="B17" s="8" t="s">
        <v>205</v>
      </c>
      <c r="C17" s="10" t="n">
        <f aca="false">$C$8*$C$10</f>
        <v>48000000</v>
      </c>
    </row>
    <row r="18" customFormat="false" ht="15" hidden="false" customHeight="false" outlineLevel="0" collapsed="false">
      <c r="B18" s="8" t="s">
        <v>206</v>
      </c>
      <c r="C18" s="10" t="n">
        <f aca="false">$C$8-$C$17</f>
        <v>32000000</v>
      </c>
    </row>
    <row r="19" customFormat="false" ht="15" hidden="false" customHeight="false" outlineLevel="0" collapsed="false">
      <c r="B19" s="8" t="s">
        <v>207</v>
      </c>
      <c r="C19" s="10" t="n">
        <f aca="false">$C$17*$C$11</f>
        <v>2880000</v>
      </c>
    </row>
    <row r="20" customFormat="false" ht="15" hidden="false" customHeight="false" outlineLevel="0" collapsed="false">
      <c r="B20" s="8" t="s">
        <v>208</v>
      </c>
      <c r="C20" s="30" t="n">
        <f aca="false">IFERROR($C$9/$C$19,0)</f>
        <v>1.94444444444444</v>
      </c>
    </row>
    <row r="21" customFormat="false" ht="15" hidden="false" customHeight="false" outlineLevel="0" collapsed="false">
      <c r="B21" s="8" t="s">
        <v>209</v>
      </c>
      <c r="C21" s="17" t="n">
        <f aca="false">IFERROR($C$9/$C$17,0)</f>
        <v>0.116666666666667</v>
      </c>
    </row>
    <row r="23" customFormat="false" ht="26.85" hidden="false" customHeight="false" outlineLevel="0" collapsed="false">
      <c r="B23" s="3" t="s">
        <v>210</v>
      </c>
    </row>
    <row r="24" customFormat="false" ht="15" hidden="false" customHeight="true" outlineLevel="0" collapsed="false">
      <c r="B24" s="6" t="s">
        <v>211</v>
      </c>
      <c r="C24" s="6"/>
      <c r="D24" s="6"/>
      <c r="E24" s="6"/>
      <c r="F24" s="6"/>
      <c r="G24" s="6"/>
      <c r="H24" s="6"/>
      <c r="I24" s="6"/>
    </row>
    <row r="26" customFormat="false" ht="27.75" hidden="false" customHeight="true" outlineLevel="0" collapsed="false">
      <c r="B26" s="7" t="s">
        <v>212</v>
      </c>
      <c r="C26" s="31" t="n">
        <v>0.05</v>
      </c>
      <c r="D26" s="31" t="n">
        <v>0.0525</v>
      </c>
      <c r="E26" s="31" t="n">
        <v>0.0575</v>
      </c>
      <c r="F26" s="31" t="n">
        <v>0.0625</v>
      </c>
      <c r="G26" s="31" t="n">
        <v>0.0675</v>
      </c>
      <c r="H26" s="31" t="n">
        <v>0.0725</v>
      </c>
    </row>
    <row r="27" customFormat="false" ht="15" hidden="false" customHeight="false" outlineLevel="0" collapsed="false">
      <c r="B27" s="8" t="s">
        <v>213</v>
      </c>
      <c r="C27" s="10" t="n">
        <f aca="false">-$C$18</f>
        <v>-32000000</v>
      </c>
      <c r="D27" s="10" t="n">
        <f aca="false">-$C$18</f>
        <v>-32000000</v>
      </c>
      <c r="E27" s="10" t="n">
        <f aca="false">-$C$18</f>
        <v>-32000000</v>
      </c>
      <c r="F27" s="10" t="n">
        <f aca="false">-$C$18</f>
        <v>-32000000</v>
      </c>
      <c r="G27" s="10" t="n">
        <f aca="false">-$C$18</f>
        <v>-32000000</v>
      </c>
      <c r="H27" s="10" t="n">
        <f aca="false">-$C$18</f>
        <v>-32000000</v>
      </c>
    </row>
    <row r="28" customFormat="false" ht="15" hidden="false" customHeight="false" outlineLevel="0" collapsed="false">
      <c r="B28" s="8" t="s">
        <v>214</v>
      </c>
      <c r="C28" s="10" t="n">
        <f aca="false">$C$9*(1+$C$12)^(1-1)-$C$19</f>
        <v>2720000</v>
      </c>
      <c r="D28" s="10" t="n">
        <f aca="false">$C$9*(1+$C$12)^(1-1)-$C$19</f>
        <v>2720000</v>
      </c>
      <c r="E28" s="10" t="n">
        <f aca="false">$C$9*(1+$C$12)^(1-1)-$C$19</f>
        <v>2720000</v>
      </c>
      <c r="F28" s="10" t="n">
        <f aca="false">$C$9*(1+$C$12)^(1-1)-$C$19</f>
        <v>2720000</v>
      </c>
      <c r="G28" s="10" t="n">
        <f aca="false">$C$9*(1+$C$12)^(1-1)-$C$19</f>
        <v>2720000</v>
      </c>
      <c r="H28" s="10" t="n">
        <f aca="false">$C$9*(1+$C$12)^(1-1)-$C$19</f>
        <v>2720000</v>
      </c>
    </row>
    <row r="29" customFormat="false" ht="15" hidden="false" customHeight="false" outlineLevel="0" collapsed="false">
      <c r="B29" s="8" t="s">
        <v>215</v>
      </c>
      <c r="C29" s="10" t="n">
        <f aca="false">$C$9*(1+$C$12)^(2-1)-$C$19</f>
        <v>2888000</v>
      </c>
      <c r="D29" s="10" t="n">
        <f aca="false">$C$9*(1+$C$12)^(2-1)-$C$19</f>
        <v>2888000</v>
      </c>
      <c r="E29" s="10" t="n">
        <f aca="false">$C$9*(1+$C$12)^(2-1)-$C$19</f>
        <v>2888000</v>
      </c>
      <c r="F29" s="10" t="n">
        <f aca="false">$C$9*(1+$C$12)^(2-1)-$C$19</f>
        <v>2888000</v>
      </c>
      <c r="G29" s="10" t="n">
        <f aca="false">$C$9*(1+$C$12)^(2-1)-$C$19</f>
        <v>2888000</v>
      </c>
      <c r="H29" s="10" t="n">
        <f aca="false">$C$9*(1+$C$12)^(2-1)-$C$19</f>
        <v>2888000</v>
      </c>
    </row>
    <row r="30" customFormat="false" ht="15" hidden="false" customHeight="false" outlineLevel="0" collapsed="false">
      <c r="B30" s="8" t="s">
        <v>216</v>
      </c>
      <c r="C30" s="10" t="n">
        <f aca="false">$C$9*(1+$C$12)^(3-1)-$C$19</f>
        <v>3061040</v>
      </c>
      <c r="D30" s="10" t="n">
        <f aca="false">$C$9*(1+$C$12)^(3-1)-$C$19</f>
        <v>3061040</v>
      </c>
      <c r="E30" s="10" t="n">
        <f aca="false">$C$9*(1+$C$12)^(3-1)-$C$19</f>
        <v>3061040</v>
      </c>
      <c r="F30" s="10" t="n">
        <f aca="false">$C$9*(1+$C$12)^(3-1)-$C$19</f>
        <v>3061040</v>
      </c>
      <c r="G30" s="10" t="n">
        <f aca="false">$C$9*(1+$C$12)^(3-1)-$C$19</f>
        <v>3061040</v>
      </c>
      <c r="H30" s="10" t="n">
        <f aca="false">$C$9*(1+$C$12)^(3-1)-$C$19</f>
        <v>3061040</v>
      </c>
    </row>
    <row r="31" customFormat="false" ht="15" hidden="false" customHeight="false" outlineLevel="0" collapsed="false">
      <c r="B31" s="8" t="s">
        <v>217</v>
      </c>
      <c r="C31" s="10" t="n">
        <f aca="false">$C$9*(1+$C$12)^(4-1)-$C$19</f>
        <v>3239271.2</v>
      </c>
      <c r="D31" s="10" t="n">
        <f aca="false">$C$9*(1+$C$12)^(4-1)-$C$19</f>
        <v>3239271.2</v>
      </c>
      <c r="E31" s="10" t="n">
        <f aca="false">$C$9*(1+$C$12)^(4-1)-$C$19</f>
        <v>3239271.2</v>
      </c>
      <c r="F31" s="10" t="n">
        <f aca="false">$C$9*(1+$C$12)^(4-1)-$C$19</f>
        <v>3239271.2</v>
      </c>
      <c r="G31" s="10" t="n">
        <f aca="false">$C$9*(1+$C$12)^(4-1)-$C$19</f>
        <v>3239271.2</v>
      </c>
      <c r="H31" s="10" t="n">
        <f aca="false">$C$9*(1+$C$12)^(4-1)-$C$19</f>
        <v>3239271.2</v>
      </c>
    </row>
    <row r="32" customFormat="false" ht="15" hidden="false" customHeight="false" outlineLevel="0" collapsed="false">
      <c r="B32" s="8" t="s">
        <v>218</v>
      </c>
      <c r="C32" s="10" t="n">
        <f aca="false">$C$9*(1+$C$12)^($C$13-1)-$C$19+$C$9*(1+$C$12)^$C$13/C$26*(1-$C$15)-$C$17</f>
        <v>83313965.212776</v>
      </c>
      <c r="D32" s="10" t="n">
        <f aca="false">$C$9*(1+$C$12)^($C$13-1)-$C$19+$C$9*(1+$C$12)^$C$13/D$26*(1-$C$15)-$C$17</f>
        <v>77223912.0757867</v>
      </c>
      <c r="E32" s="10" t="n">
        <f aca="false">$C$9*(1+$C$12)^($C$13-1)-$C$19+$C$9*(1+$C$12)^$C$13/E$26*(1-$C$15)-$C$17</f>
        <v>66632515.3158052</v>
      </c>
      <c r="F32" s="10" t="n">
        <f aca="false">$C$9*(1+$C$12)^($C$13-1)-$C$19+$C$9*(1+$C$12)^$C$13/F$26*(1-$C$15)-$C$17</f>
        <v>57735742.0374208</v>
      </c>
      <c r="G32" s="10" t="n">
        <f aca="false">$C$9*(1+$C$12)^($C$13-1)-$C$19+$C$9*(1+$C$12)^$C$13/G$26*(1-$C$15)-$C$17</f>
        <v>50157009.244723</v>
      </c>
      <c r="H32" s="10" t="n">
        <f aca="false">$C$9*(1+$C$12)^($C$13-1)-$C$19+$C$9*(1+$C$12)^$C$13/H$26*(1-$C$15)-$C$17</f>
        <v>43623618.9061904</v>
      </c>
    </row>
    <row r="33" customFormat="false" ht="15" hidden="false" customHeight="false" outlineLevel="0" collapsed="false">
      <c r="B33" s="11" t="s">
        <v>219</v>
      </c>
      <c r="C33" s="25" t="n">
        <f aca="false">IFERROR(IRR(C27:C32),0)</f>
        <v>0.269006024050127</v>
      </c>
      <c r="D33" s="25" t="n">
        <f aca="false">IFERROR(IRR(D27:D32),0)</f>
        <v>0.251967283848969</v>
      </c>
      <c r="E33" s="25" t="n">
        <f aca="false">IFERROR(IRR(E27:E32),0)</f>
        <v>0.21975461781674</v>
      </c>
      <c r="F33" s="25" t="n">
        <f aca="false">IFERROR(IRR(F27:F32),0)</f>
        <v>0.189581985444753</v>
      </c>
      <c r="G33" s="25" t="n">
        <f aca="false">IFERROR(IRR(G27:G32),0)</f>
        <v>0.161016639648386</v>
      </c>
      <c r="H33" s="25" t="n">
        <f aca="false">IFERROR(IRR(H27:H32),0)</f>
        <v>0.133709537998494</v>
      </c>
    </row>
    <row r="34" customFormat="false" ht="15" hidden="false" customHeight="false" outlineLevel="0" collapsed="false">
      <c r="B34" s="11" t="s">
        <v>220</v>
      </c>
      <c r="C34" s="32" t="n">
        <f aca="false">IFERROR(SUM(C28:C32)/$C$18,0)</f>
        <v>2.97569613789925</v>
      </c>
      <c r="D34" s="32" t="n">
        <f aca="false">IFERROR(SUM(D28:D32)/$C$18,0)</f>
        <v>2.78538197736833</v>
      </c>
      <c r="E34" s="32" t="n">
        <f aca="false">IFERROR(SUM(E28:E32)/$C$18,0)</f>
        <v>2.45440082861891</v>
      </c>
      <c r="F34" s="32" t="n">
        <f aca="false">IFERROR(SUM(F28:F32)/$C$18,0)</f>
        <v>2.1763766636694</v>
      </c>
      <c r="G34" s="32" t="n">
        <f aca="false">IFERROR(SUM(G28:G32)/$C$18,0)</f>
        <v>1.93954126389759</v>
      </c>
      <c r="H34" s="32" t="n">
        <f aca="false">IFERROR(SUM(H28:H32)/$C$18,0)</f>
        <v>1.73537281581845</v>
      </c>
    </row>
    <row r="35" customFormat="false" ht="15" hidden="false" customHeight="false" outlineLevel="0" collapsed="false">
      <c r="B35" s="8" t="s">
        <v>221</v>
      </c>
      <c r="C35" s="10" t="n">
        <f aca="false">IFERROR($C$9*(1+$C$12)^$C$13/C$26,0)</f>
        <v>129838696.3216</v>
      </c>
      <c r="D35" s="10" t="n">
        <f aca="false">IFERROR($C$9*(1+$C$12)^$C$13/D$26,0)</f>
        <v>123655901.258667</v>
      </c>
      <c r="E35" s="10" t="n">
        <f aca="false">IFERROR($C$9*(1+$C$12)^$C$13/E$26,0)</f>
        <v>112903214.192696</v>
      </c>
      <c r="F35" s="10" t="n">
        <f aca="false">IFERROR($C$9*(1+$C$12)^$C$13/F$26,0)</f>
        <v>103870957.05728</v>
      </c>
      <c r="G35" s="10" t="n">
        <f aca="false">IFERROR($C$9*(1+$C$12)^$C$13/G$26,0)</f>
        <v>96176812.0900741</v>
      </c>
      <c r="H35" s="10" t="n">
        <f aca="false">IFERROR($C$9*(1+$C$12)^$C$13/H$26,0)</f>
        <v>89543928.4976552</v>
      </c>
    </row>
    <row r="37" customFormat="false" ht="26.85" hidden="false" customHeight="false" outlineLevel="0" collapsed="false">
      <c r="B37" s="3" t="s">
        <v>222</v>
      </c>
    </row>
    <row r="38" customFormat="false" ht="15" hidden="false" customHeight="true" outlineLevel="0" collapsed="false">
      <c r="B38" s="6" t="s">
        <v>223</v>
      </c>
      <c r="C38" s="6"/>
      <c r="D38" s="6"/>
      <c r="E38" s="6"/>
      <c r="F38" s="6"/>
      <c r="G38" s="6"/>
      <c r="H38" s="6"/>
      <c r="I38" s="6"/>
    </row>
    <row r="40" customFormat="false" ht="27.75" hidden="false" customHeight="true" outlineLevel="0" collapsed="false">
      <c r="B40" s="7" t="s">
        <v>224</v>
      </c>
      <c r="C40" s="33" t="n">
        <v>0.05</v>
      </c>
      <c r="D40" s="33" t="n">
        <v>0.0525</v>
      </c>
      <c r="E40" s="33" t="n">
        <v>0.0575</v>
      </c>
      <c r="F40" s="33" t="n">
        <v>0.0625</v>
      </c>
      <c r="G40" s="33" t="n">
        <v>0.0675</v>
      </c>
      <c r="H40" s="33" t="n">
        <v>0.0725</v>
      </c>
    </row>
    <row r="41" customFormat="false" ht="15" hidden="false" customHeight="false" outlineLevel="0" collapsed="false">
      <c r="B41" s="21" t="n">
        <v>0.06</v>
      </c>
      <c r="C41" s="30" t="n">
        <f aca="true">IFERROR((($C$9*(1+$C$12)^$C$13*(1+$B41)/C$40*(1-$C$15)-$C$17)+SUMPRODUCT($C$9*(1+$C$12)^(ROW(INDIRECT("1:"&amp;$C$13))-1)-$C$19))/$C$18,0)</f>
        <v>3.21549198016821</v>
      </c>
      <c r="D41" s="30" t="n">
        <f aca="true">IFERROR((($C$9*(1+$C$12)^$C$13*(1+$B41)/D$40*(1-$C$15)-$C$17)+SUMPRODUCT($C$9*(1+$C$12)^(ROW(INDIRECT("1:"&amp;$C$13))-1)-$C$19))/$C$18,0)</f>
        <v>3.01375897000543</v>
      </c>
      <c r="E41" s="30" t="n">
        <f aca="true">IFERROR((($C$9*(1+$C$12)^$C$13*(1+$B41)/E$40*(1-$C$15)-$C$17)+SUMPRODUCT($C$9*(1+$C$12)^(ROW(INDIRECT("1:"&amp;$C$13))-1)-$C$19))/$C$18,0)</f>
        <v>2.66291895233105</v>
      </c>
      <c r="F41" s="30" t="n">
        <f aca="true">IFERROR((($C$9*(1+$C$12)^$C$13*(1+$B41)/F$40*(1-$C$15)-$C$17)+SUMPRODUCT($C$9*(1+$C$12)^(ROW(INDIRECT("1:"&amp;$C$13))-1)-$C$19))/$C$18,0)</f>
        <v>2.36821333748456</v>
      </c>
      <c r="G41" s="30" t="n">
        <f aca="true">IFERROR((($C$9*(1+$C$12)^$C$13*(1+$B41)/G$40*(1-$C$15)-$C$17)+SUMPRODUCT($C$9*(1+$C$12)^(ROW(INDIRECT("1:"&amp;$C$13))-1)-$C$19))/$C$18,0)</f>
        <v>2.11716781372645</v>
      </c>
      <c r="H41" s="30" t="n">
        <f aca="true">IFERROR((($C$9*(1+$C$12)^$C$13*(1+$B41)/H$40*(1-$C$15)-$C$17)+SUMPRODUCT($C$9*(1+$C$12)^(ROW(INDIRECT("1:"&amp;$C$13))-1)-$C$19))/$C$18,0)</f>
        <v>1.90074925876256</v>
      </c>
    </row>
    <row r="42" customFormat="false" ht="15" hidden="false" customHeight="false" outlineLevel="0" collapsed="false">
      <c r="B42" s="21" t="n">
        <v>0.03</v>
      </c>
      <c r="C42" s="30" t="n">
        <f aca="true">IFERROR((($C$9*(1+$C$12)^$C$13*(1+$B42)/C$40*(1-$C$15)-$C$17)+SUMPRODUCT($C$9*(1+$C$12)^(ROW(INDIRECT("1:"&amp;$C$13))-1)-$C$19))/$C$18,0)</f>
        <v>3.09559405903373</v>
      </c>
      <c r="D42" s="30" t="n">
        <f aca="true">IFERROR((($C$9*(1+$C$12)^$C$13*(1+$B42)/D$40*(1-$C$15)-$C$17)+SUMPRODUCT($C$9*(1+$C$12)^(ROW(INDIRECT("1:"&amp;$C$13))-1)-$C$19))/$C$18,0)</f>
        <v>2.89957047368688</v>
      </c>
      <c r="E42" s="30" t="n">
        <f aca="true">IFERROR((($C$9*(1+$C$12)^$C$13*(1+$B42)/E$40*(1-$C$15)-$C$17)+SUMPRODUCT($C$9*(1+$C$12)^(ROW(INDIRECT("1:"&amp;$C$13))-1)-$C$19))/$C$18,0)</f>
        <v>2.55865989047498</v>
      </c>
      <c r="F42" s="30" t="n">
        <f aca="true">IFERROR((($C$9*(1+$C$12)^$C$13*(1+$B42)/F$40*(1-$C$15)-$C$17)+SUMPRODUCT($C$9*(1+$C$12)^(ROW(INDIRECT("1:"&amp;$C$13))-1)-$C$19))/$C$18,0)</f>
        <v>2.27229500057698</v>
      </c>
      <c r="G42" s="30" t="n">
        <f aca="true">IFERROR((($C$9*(1+$C$12)^$C$13*(1+$B42)/G$40*(1-$C$15)-$C$17)+SUMPRODUCT($C$9*(1+$C$12)^(ROW(INDIRECT("1:"&amp;$C$13))-1)-$C$19))/$C$18,0)</f>
        <v>2.02835453881202</v>
      </c>
      <c r="H42" s="30" t="n">
        <f aca="true">IFERROR((($C$9*(1+$C$12)^$C$13*(1+$B42)/H$40*(1-$C$15)-$C$17)+SUMPRODUCT($C$9*(1+$C$12)^(ROW(INDIRECT("1:"&amp;$C$13))-1)-$C$19))/$C$18,0)</f>
        <v>1.8180610372905</v>
      </c>
    </row>
    <row r="43" customFormat="false" ht="15" hidden="false" customHeight="false" outlineLevel="0" collapsed="false">
      <c r="B43" s="21" t="n">
        <v>0</v>
      </c>
      <c r="C43" s="30" t="n">
        <f aca="true">IFERROR((($C$9*(1+$C$12)^$C$13*(1+$B43)/C$40*(1-$C$15)-$C$17)+SUMPRODUCT($C$9*(1+$C$12)^(ROW(INDIRECT("1:"&amp;$C$13))-1)-$C$19))/$C$18,0)</f>
        <v>2.97569613789925</v>
      </c>
      <c r="D43" s="30" t="n">
        <f aca="true">IFERROR((($C$9*(1+$C$12)^$C$13*(1+$B43)/D$40*(1-$C$15)-$C$17)+SUMPRODUCT($C$9*(1+$C$12)^(ROW(INDIRECT("1:"&amp;$C$13))-1)-$C$19))/$C$18,0)</f>
        <v>2.78538197736833</v>
      </c>
      <c r="E43" s="30" t="n">
        <f aca="true">IFERROR((($C$9*(1+$C$12)^$C$13*(1+$B43)/E$40*(1-$C$15)-$C$17)+SUMPRODUCT($C$9*(1+$C$12)^(ROW(INDIRECT("1:"&amp;$C$13))-1)-$C$19))/$C$18,0)</f>
        <v>2.45440082861891</v>
      </c>
      <c r="F43" s="30" t="n">
        <f aca="true">IFERROR((($C$9*(1+$C$12)^$C$13*(1+$B43)/F$40*(1-$C$15)-$C$17)+SUMPRODUCT($C$9*(1+$C$12)^(ROW(INDIRECT("1:"&amp;$C$13))-1)-$C$19))/$C$18,0)</f>
        <v>2.1763766636694</v>
      </c>
      <c r="G43" s="30" t="n">
        <f aca="true">IFERROR((($C$9*(1+$C$12)^$C$13*(1+$B43)/G$40*(1-$C$15)-$C$17)+SUMPRODUCT($C$9*(1+$C$12)^(ROW(INDIRECT("1:"&amp;$C$13))-1)-$C$19))/$C$18,0)</f>
        <v>1.93954126389759</v>
      </c>
      <c r="H43" s="30" t="n">
        <f aca="true">IFERROR((($C$9*(1+$C$12)^$C$13*(1+$B43)/H$40*(1-$C$15)-$C$17)+SUMPRODUCT($C$9*(1+$C$12)^(ROW(INDIRECT("1:"&amp;$C$13))-1)-$C$19))/$C$18,0)</f>
        <v>1.73537281581845</v>
      </c>
    </row>
    <row r="44" customFormat="false" ht="15" hidden="false" customHeight="false" outlineLevel="0" collapsed="false">
      <c r="B44" s="21" t="n">
        <v>-0.03</v>
      </c>
      <c r="C44" s="30" t="n">
        <f aca="true">IFERROR((($C$9*(1+$C$12)^$C$13*(1+$B44)/C$40*(1-$C$15)-$C$17)+SUMPRODUCT($C$9*(1+$C$12)^(ROW(INDIRECT("1:"&amp;$C$13))-1)-$C$19))/$C$18,0)</f>
        <v>2.85579821676477</v>
      </c>
      <c r="D44" s="30" t="n">
        <f aca="true">IFERROR((($C$9*(1+$C$12)^$C$13*(1+$B44)/D$40*(1-$C$15)-$C$17)+SUMPRODUCT($C$9*(1+$C$12)^(ROW(INDIRECT("1:"&amp;$C$13))-1)-$C$19))/$C$18,0)</f>
        <v>2.67119348104978</v>
      </c>
      <c r="E44" s="30" t="n">
        <f aca="true">IFERROR((($C$9*(1+$C$12)^$C$13*(1+$B44)/E$40*(1-$C$15)-$C$17)+SUMPRODUCT($C$9*(1+$C$12)^(ROW(INDIRECT("1:"&amp;$C$13))-1)-$C$19))/$C$18,0)</f>
        <v>2.35014176676285</v>
      </c>
      <c r="F44" s="30" t="n">
        <f aca="true">IFERROR((($C$9*(1+$C$12)^$C$13*(1+$B44)/F$40*(1-$C$15)-$C$17)+SUMPRODUCT($C$9*(1+$C$12)^(ROW(INDIRECT("1:"&amp;$C$13))-1)-$C$19))/$C$18,0)</f>
        <v>2.08045832676182</v>
      </c>
      <c r="G44" s="30" t="n">
        <f aca="true">IFERROR((($C$9*(1+$C$12)^$C$13*(1+$B44)/G$40*(1-$C$15)-$C$17)+SUMPRODUCT($C$9*(1+$C$12)^(ROW(INDIRECT("1:"&amp;$C$13))-1)-$C$19))/$C$18,0)</f>
        <v>1.85072798898316</v>
      </c>
      <c r="H44" s="30" t="n">
        <f aca="true">IFERROR((($C$9*(1+$C$12)^$C$13*(1+$B44)/H$40*(1-$C$15)-$C$17)+SUMPRODUCT($C$9*(1+$C$12)^(ROW(INDIRECT("1:"&amp;$C$13))-1)-$C$19))/$C$18,0)</f>
        <v>1.65268459434639</v>
      </c>
    </row>
    <row r="45" customFormat="false" ht="15" hidden="false" customHeight="false" outlineLevel="0" collapsed="false">
      <c r="B45" s="21" t="n">
        <v>-0.06</v>
      </c>
      <c r="C45" s="30" t="n">
        <f aca="true">IFERROR((($C$9*(1+$C$12)^$C$13*(1+$B45)/C$40*(1-$C$15)-$C$17)+SUMPRODUCT($C$9*(1+$C$12)^(ROW(INDIRECT("1:"&amp;$C$13))-1)-$C$19))/$C$18,0)</f>
        <v>2.7359002956303</v>
      </c>
      <c r="D45" s="30" t="n">
        <f aca="true">IFERROR((($C$9*(1+$C$12)^$C$13*(1+$B45)/D$40*(1-$C$15)-$C$17)+SUMPRODUCT($C$9*(1+$C$12)^(ROW(INDIRECT("1:"&amp;$C$13))-1)-$C$19))/$C$18,0)</f>
        <v>2.55700498473123</v>
      </c>
      <c r="E45" s="30" t="n">
        <f aca="true">IFERROR((($C$9*(1+$C$12)^$C$13*(1+$B45)/E$40*(1-$C$15)-$C$17)+SUMPRODUCT($C$9*(1+$C$12)^(ROW(INDIRECT("1:"&amp;$C$13))-1)-$C$19))/$C$18,0)</f>
        <v>2.24588270490678</v>
      </c>
      <c r="F45" s="30" t="n">
        <f aca="true">IFERROR((($C$9*(1+$C$12)^$C$13*(1+$B45)/F$40*(1-$C$15)-$C$17)+SUMPRODUCT($C$9*(1+$C$12)^(ROW(INDIRECT("1:"&amp;$C$13))-1)-$C$19))/$C$18,0)</f>
        <v>1.98453998985424</v>
      </c>
      <c r="G45" s="30" t="n">
        <f aca="true">IFERROR((($C$9*(1+$C$12)^$C$13*(1+$B45)/G$40*(1-$C$15)-$C$17)+SUMPRODUCT($C$9*(1+$C$12)^(ROW(INDIRECT("1:"&amp;$C$13))-1)-$C$19))/$C$18,0)</f>
        <v>1.76191471406874</v>
      </c>
      <c r="H45" s="30" t="n">
        <f aca="true">IFERROR((($C$9*(1+$C$12)^$C$13*(1+$B45)/H$40*(1-$C$15)-$C$17)+SUMPRODUCT($C$9*(1+$C$12)^(ROW(INDIRECT("1:"&amp;$C$13))-1)-$C$19))/$C$18,0)</f>
        <v>1.56999637287434</v>
      </c>
    </row>
    <row r="46" customFormat="false" ht="15" hidden="false" customHeight="false" outlineLevel="0" collapsed="false">
      <c r="B46" s="21" t="n">
        <v>-0.1</v>
      </c>
      <c r="C46" s="30" t="n">
        <f aca="true">IFERROR((($C$9*(1+$C$12)^$C$13*(1+$B46)/C$40*(1-$C$15)-$C$17)+SUMPRODUCT($C$9*(1+$C$12)^(ROW(INDIRECT("1:"&amp;$C$13))-1)-$C$19))/$C$18,0)</f>
        <v>2.57603640078433</v>
      </c>
      <c r="D46" s="30" t="n">
        <f aca="true">IFERROR((($C$9*(1+$C$12)^$C$13*(1+$B46)/D$40*(1-$C$15)-$C$17)+SUMPRODUCT($C$9*(1+$C$12)^(ROW(INDIRECT("1:"&amp;$C$13))-1)-$C$19))/$C$18,0)</f>
        <v>2.4047536563065</v>
      </c>
      <c r="E46" s="30" t="n">
        <f aca="true">IFERROR((($C$9*(1+$C$12)^$C$13*(1+$B46)/E$40*(1-$C$15)-$C$17)+SUMPRODUCT($C$9*(1+$C$12)^(ROW(INDIRECT("1:"&amp;$C$13))-1)-$C$19))/$C$18,0)</f>
        <v>2.10687062243202</v>
      </c>
      <c r="F46" s="30" t="n">
        <f aca="true">IFERROR((($C$9*(1+$C$12)^$C$13*(1+$B46)/F$40*(1-$C$15)-$C$17)+SUMPRODUCT($C$9*(1+$C$12)^(ROW(INDIRECT("1:"&amp;$C$13))-1)-$C$19))/$C$18,0)</f>
        <v>1.85664887397746</v>
      </c>
      <c r="G46" s="30" t="n">
        <f aca="true">IFERROR((($C$9*(1+$C$12)^$C$13*(1+$B46)/G$40*(1-$C$15)-$C$17)+SUMPRODUCT($C$9*(1+$C$12)^(ROW(INDIRECT("1:"&amp;$C$13))-1)-$C$19))/$C$18,0)</f>
        <v>1.64349701418283</v>
      </c>
      <c r="H46" s="30" t="n">
        <f aca="true">IFERROR((($C$9*(1+$C$12)^$C$13*(1+$B46)/H$40*(1-$C$15)-$C$17)+SUMPRODUCT($C$9*(1+$C$12)^(ROW(INDIRECT("1:"&amp;$C$13))-1)-$C$19))/$C$18,0)</f>
        <v>1.4597454109116</v>
      </c>
    </row>
    <row r="48" customFormat="false" ht="15" hidden="false" customHeight="true" outlineLevel="0" collapsed="false">
      <c r="B48" s="34" t="s">
        <v>225</v>
      </c>
      <c r="C48" s="34"/>
      <c r="D48" s="34"/>
      <c r="E48" s="34"/>
      <c r="F48" s="34"/>
      <c r="G48" s="34"/>
      <c r="H48" s="34"/>
      <c r="I48" s="34"/>
    </row>
  </sheetData>
  <mergeCells count="4">
    <mergeCell ref="B4:I4"/>
    <mergeCell ref="B24:I24"/>
    <mergeCell ref="B38:I38"/>
    <mergeCell ref="B48:I4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5" min="3" style="0" width="17"/>
    <col collapsed="false" customWidth="true" hidden="false" outlineLevel="0" max="6" min="6" style="0" width="52"/>
  </cols>
  <sheetData>
    <row r="2" customFormat="false" ht="32.8" hidden="false" customHeight="false" outlineLevel="0" collapsed="false">
      <c r="B2" s="1" t="s">
        <v>226</v>
      </c>
    </row>
    <row r="4" customFormat="false" ht="45.75" hidden="false" customHeight="true" outlineLevel="0" collapsed="false">
      <c r="B4" s="6" t="s">
        <v>227</v>
      </c>
      <c r="C4" s="6"/>
      <c r="D4" s="6"/>
      <c r="E4" s="6"/>
      <c r="F4" s="6"/>
    </row>
    <row r="6" customFormat="false" ht="15" hidden="false" customHeight="false" outlineLevel="0" collapsed="false">
      <c r="B6" s="3" t="s">
        <v>228</v>
      </c>
    </row>
    <row r="7" customFormat="false" ht="27.75" hidden="false" customHeight="true" outlineLevel="0" collapsed="false">
      <c r="B7" s="7" t="s">
        <v>192</v>
      </c>
      <c r="C7" s="7" t="s">
        <v>118</v>
      </c>
      <c r="F7" s="7" t="s">
        <v>119</v>
      </c>
    </row>
    <row r="8" customFormat="false" ht="15" hidden="false" customHeight="false" outlineLevel="0" collapsed="false">
      <c r="B8" s="8" t="s">
        <v>229</v>
      </c>
      <c r="C8" s="18" t="n">
        <v>200000</v>
      </c>
      <c r="F8" s="5"/>
    </row>
    <row r="9" customFormat="false" ht="22.35" hidden="false" customHeight="false" outlineLevel="0" collapsed="false">
      <c r="B9" s="8" t="s">
        <v>230</v>
      </c>
      <c r="C9" s="9" t="n">
        <v>38000000</v>
      </c>
      <c r="F9" s="5" t="s">
        <v>231</v>
      </c>
    </row>
    <row r="10" customFormat="false" ht="15" hidden="false" customHeight="false" outlineLevel="0" collapsed="false">
      <c r="B10" s="8" t="s">
        <v>232</v>
      </c>
      <c r="C10" s="9" t="n">
        <v>9000000</v>
      </c>
      <c r="F10" s="5" t="s">
        <v>233</v>
      </c>
    </row>
    <row r="11" customFormat="false" ht="15" hidden="false" customHeight="false" outlineLevel="0" collapsed="false">
      <c r="B11" s="8" t="s">
        <v>234</v>
      </c>
      <c r="C11" s="9" t="n">
        <v>3500000</v>
      </c>
      <c r="F11" s="5"/>
    </row>
    <row r="12" customFormat="false" ht="15" hidden="false" customHeight="false" outlineLevel="0" collapsed="false">
      <c r="B12" s="8" t="s">
        <v>235</v>
      </c>
      <c r="C12" s="19" t="n">
        <v>12</v>
      </c>
      <c r="F12" s="5" t="s">
        <v>236</v>
      </c>
    </row>
    <row r="13" customFormat="false" ht="15" hidden="false" customHeight="false" outlineLevel="0" collapsed="false">
      <c r="B13" s="8" t="s">
        <v>237</v>
      </c>
      <c r="C13" s="21" t="n">
        <v>0.55</v>
      </c>
      <c r="F13" s="5"/>
    </row>
    <row r="14" customFormat="false" ht="15" hidden="false" customHeight="false" outlineLevel="0" collapsed="false">
      <c r="B14" s="8" t="s">
        <v>197</v>
      </c>
      <c r="C14" s="26" t="n">
        <v>0.065</v>
      </c>
      <c r="F14" s="5"/>
    </row>
    <row r="15" customFormat="false" ht="15" hidden="false" customHeight="false" outlineLevel="0" collapsed="false">
      <c r="B15" s="8" t="s">
        <v>203</v>
      </c>
      <c r="C15" s="21" t="n">
        <v>0.015</v>
      </c>
      <c r="F15" s="5"/>
    </row>
    <row r="16" customFormat="false" ht="15" hidden="false" customHeight="false" outlineLevel="0" collapsed="false">
      <c r="B16" s="8" t="s">
        <v>238</v>
      </c>
      <c r="C16" s="21" t="n">
        <v>0.65</v>
      </c>
      <c r="F16" s="5" t="s">
        <v>239</v>
      </c>
    </row>
    <row r="18" customFormat="false" ht="15" hidden="false" customHeight="false" outlineLevel="0" collapsed="false">
      <c r="B18" s="3" t="s">
        <v>240</v>
      </c>
    </row>
    <row r="19" customFormat="false" ht="27.75" hidden="false" customHeight="true" outlineLevel="0" collapsed="false">
      <c r="B19" s="7" t="s">
        <v>241</v>
      </c>
      <c r="C19" s="7" t="s">
        <v>242</v>
      </c>
      <c r="D19" s="7" t="s">
        <v>243</v>
      </c>
      <c r="E19" s="7" t="s">
        <v>244</v>
      </c>
      <c r="F19" s="7" t="s">
        <v>245</v>
      </c>
    </row>
    <row r="20" customFormat="false" ht="22.35" hidden="false" customHeight="false" outlineLevel="0" collapsed="false">
      <c r="B20" s="8" t="s">
        <v>246</v>
      </c>
      <c r="C20" s="19" t="n">
        <v>32</v>
      </c>
      <c r="D20" s="19" t="n">
        <v>32</v>
      </c>
      <c r="E20" s="19" t="n">
        <v>32</v>
      </c>
      <c r="F20" s="5" t="s">
        <v>247</v>
      </c>
    </row>
    <row r="21" customFormat="false" ht="15" hidden="false" customHeight="false" outlineLevel="0" collapsed="false">
      <c r="B21" s="8" t="s">
        <v>248</v>
      </c>
      <c r="C21" s="26" t="n">
        <v>0.03</v>
      </c>
      <c r="D21" s="26" t="n">
        <v>0.04</v>
      </c>
      <c r="E21" s="26" t="n">
        <v>0</v>
      </c>
      <c r="F21" s="5" t="s">
        <v>249</v>
      </c>
    </row>
    <row r="22" customFormat="false" ht="15" hidden="false" customHeight="false" outlineLevel="0" collapsed="false">
      <c r="B22" s="8" t="s">
        <v>250</v>
      </c>
      <c r="C22" s="26" t="n">
        <v>0.03</v>
      </c>
      <c r="D22" s="26" t="n">
        <v>0.04</v>
      </c>
      <c r="E22" s="26" t="n">
        <v>0.025</v>
      </c>
      <c r="F22" s="5"/>
    </row>
    <row r="23" customFormat="false" ht="15" hidden="false" customHeight="false" outlineLevel="0" collapsed="false">
      <c r="B23" s="8" t="s">
        <v>251</v>
      </c>
      <c r="C23" s="21" t="n">
        <v>0.65</v>
      </c>
      <c r="D23" s="21" t="n">
        <v>0.7</v>
      </c>
      <c r="E23" s="21" t="n">
        <v>0.65</v>
      </c>
      <c r="F23" s="5"/>
    </row>
    <row r="24" customFormat="false" ht="22.35" hidden="false" customHeight="false" outlineLevel="0" collapsed="false">
      <c r="B24" s="8" t="s">
        <v>252</v>
      </c>
      <c r="C24" s="21" t="n">
        <v>0.78</v>
      </c>
      <c r="D24" s="21" t="n">
        <v>0.85</v>
      </c>
      <c r="E24" s="21" t="n">
        <v>0.65</v>
      </c>
      <c r="F24" s="5" t="s">
        <v>253</v>
      </c>
    </row>
    <row r="25" customFormat="false" ht="15" hidden="false" customHeight="false" outlineLevel="0" collapsed="false">
      <c r="B25" s="8" t="s">
        <v>254</v>
      </c>
      <c r="C25" s="21" t="n">
        <v>0.9</v>
      </c>
      <c r="D25" s="21" t="n">
        <v>0.92</v>
      </c>
      <c r="E25" s="21" t="n">
        <v>0.78</v>
      </c>
      <c r="F25" s="5" t="s">
        <v>255</v>
      </c>
    </row>
    <row r="26" customFormat="false" ht="15" hidden="false" customHeight="false" outlineLevel="0" collapsed="false">
      <c r="B26" s="8" t="s">
        <v>256</v>
      </c>
      <c r="C26" s="21" t="n">
        <v>0.9</v>
      </c>
      <c r="D26" s="21" t="n">
        <v>0.92</v>
      </c>
      <c r="E26" s="21" t="n">
        <v>0.9</v>
      </c>
      <c r="F26" s="5"/>
    </row>
    <row r="27" customFormat="false" ht="15" hidden="false" customHeight="false" outlineLevel="0" collapsed="false">
      <c r="B27" s="8" t="s">
        <v>257</v>
      </c>
      <c r="C27" s="21" t="n">
        <v>0.9</v>
      </c>
      <c r="D27" s="21" t="n">
        <v>0.92</v>
      </c>
      <c r="E27" s="21" t="n">
        <v>0.9</v>
      </c>
      <c r="F27" s="5"/>
    </row>
    <row r="28" customFormat="false" ht="15" hidden="false" customHeight="false" outlineLevel="0" collapsed="false">
      <c r="B28" s="8" t="s">
        <v>258</v>
      </c>
      <c r="C28" s="19" t="n">
        <v>1</v>
      </c>
      <c r="D28" s="19" t="n">
        <v>0.95</v>
      </c>
      <c r="E28" s="19" t="n">
        <v>1.15</v>
      </c>
      <c r="F28" s="5" t="s">
        <v>259</v>
      </c>
    </row>
    <row r="29" customFormat="false" ht="15" hidden="false" customHeight="false" outlineLevel="0" collapsed="false">
      <c r="B29" s="8" t="s">
        <v>260</v>
      </c>
      <c r="C29" s="26" t="n">
        <v>0.065</v>
      </c>
      <c r="D29" s="26" t="n">
        <v>0.0625</v>
      </c>
      <c r="E29" s="26" t="n">
        <v>0.0725</v>
      </c>
      <c r="F29" s="5" t="s">
        <v>261</v>
      </c>
    </row>
    <row r="31" customFormat="false" ht="15" hidden="false" customHeight="false" outlineLevel="0" collapsed="false">
      <c r="B31" s="3" t="s">
        <v>262</v>
      </c>
    </row>
    <row r="32" customFormat="false" ht="27.75" hidden="false" customHeight="true" outlineLevel="0" collapsed="false">
      <c r="B32" s="7"/>
      <c r="C32" s="7" t="s">
        <v>242</v>
      </c>
      <c r="D32" s="7" t="s">
        <v>243</v>
      </c>
      <c r="E32" s="7" t="s">
        <v>244</v>
      </c>
      <c r="F32" s="7" t="s">
        <v>119</v>
      </c>
    </row>
    <row r="33" customFormat="false" ht="15" hidden="false" customHeight="false" outlineLevel="0" collapsed="false">
      <c r="B33" s="8" t="s">
        <v>263</v>
      </c>
      <c r="C33" s="10" t="n">
        <f aca="false">$C$9+$C$11+$C$10*C$28</f>
        <v>50500000</v>
      </c>
      <c r="D33" s="10" t="n">
        <f aca="false">$C$9+$C$11+$C$10*D$28</f>
        <v>50050000</v>
      </c>
      <c r="E33" s="10" t="n">
        <f aca="false">$C$9+$C$11+$C$10*E$28</f>
        <v>51850000</v>
      </c>
    </row>
    <row r="34" customFormat="false" ht="15" hidden="false" customHeight="false" outlineLevel="0" collapsed="false">
      <c r="B34" s="8" t="s">
        <v>264</v>
      </c>
      <c r="C34" s="10" t="n">
        <f aca="false">C$33*$C$13</f>
        <v>27775000</v>
      </c>
      <c r="D34" s="10" t="n">
        <f aca="false">D$33*$C$13</f>
        <v>27527500</v>
      </c>
      <c r="E34" s="10" t="n">
        <f aca="false">E$33*$C$13</f>
        <v>28517500</v>
      </c>
    </row>
    <row r="35" customFormat="false" ht="15" hidden="false" customHeight="false" outlineLevel="0" collapsed="false">
      <c r="B35" s="8" t="s">
        <v>206</v>
      </c>
      <c r="C35" s="10" t="n">
        <f aca="false">C$33-C$34</f>
        <v>22725000</v>
      </c>
      <c r="D35" s="10" t="n">
        <f aca="false">D$33-D$34</f>
        <v>22522500</v>
      </c>
      <c r="E35" s="10" t="n">
        <f aca="false">E$33-E$34</f>
        <v>23332500</v>
      </c>
    </row>
    <row r="36" customFormat="false" ht="15" hidden="false" customHeight="false" outlineLevel="0" collapsed="false">
      <c r="B36" s="8" t="s">
        <v>265</v>
      </c>
      <c r="C36" s="10" t="n">
        <f aca="false">C$34*$C$14</f>
        <v>1805375</v>
      </c>
      <c r="D36" s="10" t="n">
        <f aca="false">D$34*$C$14</f>
        <v>1789287.5</v>
      </c>
      <c r="E36" s="10" t="n">
        <f aca="false">E$34*$C$14</f>
        <v>1853637.5</v>
      </c>
    </row>
    <row r="38" customFormat="false" ht="15" hidden="false" customHeight="false" outlineLevel="0" collapsed="false">
      <c r="B38" s="3" t="s">
        <v>266</v>
      </c>
    </row>
    <row r="39" customFormat="false" ht="27.75" hidden="false" customHeight="true" outlineLevel="0" collapsed="false">
      <c r="B39" s="7" t="s">
        <v>212</v>
      </c>
      <c r="C39" s="7" t="s">
        <v>242</v>
      </c>
      <c r="D39" s="7" t="s">
        <v>243</v>
      </c>
      <c r="E39" s="7" t="s">
        <v>244</v>
      </c>
      <c r="F39" s="7"/>
    </row>
    <row r="40" customFormat="false" ht="15" hidden="false" customHeight="false" outlineLevel="0" collapsed="false">
      <c r="B40" s="8" t="n">
        <v>1</v>
      </c>
      <c r="C40" s="10" t="n">
        <f aca="false">$C$8*C$23*C$20*(1+C$21)^MIN(1-1,2)*(1+C$22)^MAX(1-3,0)-$C$8*$C$12</f>
        <v>1760000</v>
      </c>
      <c r="D40" s="10" t="n">
        <f aca="false">$C$8*D$23*D$20*(1+D$21)^MIN(1-1,2)*(1+D$22)^MAX(1-3,0)-$C$8*$C$12</f>
        <v>2080000</v>
      </c>
      <c r="E40" s="10" t="n">
        <f aca="false">$C$8*E$23*E$20*(1+E$21)^MIN(1-1,2)*(1+E$22)^MAX(1-3,0)-$C$8*$C$12</f>
        <v>1760000</v>
      </c>
    </row>
    <row r="41" customFormat="false" ht="15" hidden="false" customHeight="false" outlineLevel="0" collapsed="false">
      <c r="B41" s="8" t="n">
        <v>2</v>
      </c>
      <c r="C41" s="10" t="n">
        <f aca="false">$C$8*C$24*C$20*(1+C$21)^MIN(2-1,2)*(1+C$22)^MAX(2-3,0)-$C$8*$C$12</f>
        <v>2741760</v>
      </c>
      <c r="D41" s="10" t="n">
        <f aca="false">$C$8*D$24*D$20*(1+D$21)^MIN(2-1,2)*(1+D$22)^MAX(2-3,0)-$C$8*$C$12</f>
        <v>3257600</v>
      </c>
      <c r="E41" s="10" t="n">
        <f aca="false">$C$8*E$24*E$20*(1+E$21)^MIN(2-1,2)*(1+E$22)^MAX(2-3,0)-$C$8*$C$12</f>
        <v>1760000</v>
      </c>
    </row>
    <row r="42" customFormat="false" ht="15" hidden="false" customHeight="false" outlineLevel="0" collapsed="false">
      <c r="B42" s="8" t="n">
        <v>3</v>
      </c>
      <c r="C42" s="10" t="n">
        <f aca="false">$C$8*C$25*C$20*(1+C$21)^MIN(3-1,2)*(1+C$22)^MAX(3-3,0)-$C$8*$C$12</f>
        <v>3710784</v>
      </c>
      <c r="D42" s="10" t="n">
        <f aca="false">$C$8*D$25*D$20*(1+D$21)^MIN(3-1,2)*(1+D$22)^MAX(3-3,0)-$C$8*$C$12</f>
        <v>3968460.8</v>
      </c>
      <c r="E42" s="10" t="n">
        <f aca="false">$C$8*E$25*E$20*(1+E$21)^MIN(3-1,2)*(1+E$22)^MAX(3-3,0)-$C$8*$C$12</f>
        <v>2592000</v>
      </c>
    </row>
    <row r="43" customFormat="false" ht="15" hidden="false" customHeight="false" outlineLevel="0" collapsed="false">
      <c r="B43" s="8" t="n">
        <v>4</v>
      </c>
      <c r="C43" s="10" t="n">
        <f aca="false">$C$8*C$26*C$20*(1+C$21)^MIN(4-1,2)*(1+C$22)^MAX(4-3,0)-$C$8*$C$12</f>
        <v>3894107.52</v>
      </c>
      <c r="D43" s="10" t="n">
        <f aca="false">$C$8*D$26*D$20*(1+D$21)^MIN(4-1,2)*(1+D$22)^MAX(4-3,0)-$C$8*$C$12</f>
        <v>4223199.232</v>
      </c>
      <c r="E43" s="10" t="n">
        <f aca="false">$C$8*E$26*E$20*(1+E$21)^MIN(4-1,2)*(1+E$22)^MAX(4-3,0)-$C$8*$C$12</f>
        <v>3504000</v>
      </c>
    </row>
    <row r="44" customFormat="false" ht="15" hidden="false" customHeight="false" outlineLevel="0" collapsed="false">
      <c r="B44" s="8" t="n">
        <v>5</v>
      </c>
      <c r="C44" s="10" t="n">
        <f aca="false">$C$8*C$27*C$20*(1+C$21)^MIN(5-1,2)*(1+C$22)^MAX(5-3,0)-$C$8*$C$12</f>
        <v>4082930.7456</v>
      </c>
      <c r="D44" s="10" t="n">
        <f aca="false">$C$8*D$27*D$20*(1+D$21)^MIN(5-1,2)*(1+D$22)^MAX(5-3,0)-$C$8*$C$12</f>
        <v>4488127.20128</v>
      </c>
      <c r="E44" s="10" t="n">
        <f aca="false">$C$8*E$27*E$20*(1+E$21)^MIN(5-1,2)*(1+E$22)^MAX(5-3,0)-$C$8*$C$12</f>
        <v>3651600</v>
      </c>
    </row>
    <row r="46" customFormat="false" ht="15" hidden="false" customHeight="false" outlineLevel="0" collapsed="false">
      <c r="B46" s="3" t="s">
        <v>267</v>
      </c>
    </row>
    <row r="47" customFormat="false" ht="27.75" hidden="false" customHeight="true" outlineLevel="0" collapsed="false">
      <c r="B47" s="7" t="s">
        <v>212</v>
      </c>
      <c r="C47" s="7" t="s">
        <v>242</v>
      </c>
      <c r="D47" s="7" t="s">
        <v>243</v>
      </c>
      <c r="E47" s="7" t="s">
        <v>244</v>
      </c>
      <c r="F47" s="7"/>
    </row>
    <row r="48" customFormat="false" ht="15" hidden="false" customHeight="false" outlineLevel="0" collapsed="false">
      <c r="B48" s="8" t="s">
        <v>268</v>
      </c>
      <c r="C48" s="10" t="n">
        <f aca="false">-C$35</f>
        <v>-22725000</v>
      </c>
      <c r="D48" s="10" t="n">
        <f aca="false">-D$35</f>
        <v>-22522500</v>
      </c>
      <c r="E48" s="10" t="n">
        <f aca="false">-E$35</f>
        <v>-23332500</v>
      </c>
    </row>
    <row r="49" customFormat="false" ht="15" hidden="false" customHeight="false" outlineLevel="0" collapsed="false">
      <c r="B49" s="8" t="n">
        <v>1</v>
      </c>
      <c r="C49" s="10" t="n">
        <f aca="false">C$40-C$36</f>
        <v>-45375.0000000002</v>
      </c>
      <c r="D49" s="10" t="n">
        <f aca="false">D$40-D$36</f>
        <v>290712.5</v>
      </c>
      <c r="E49" s="10" t="n">
        <f aca="false">E$40-E$36</f>
        <v>-93637.5000000002</v>
      </c>
    </row>
    <row r="50" customFormat="false" ht="15" hidden="false" customHeight="false" outlineLevel="0" collapsed="false">
      <c r="B50" s="8" t="n">
        <v>2</v>
      </c>
      <c r="C50" s="10" t="n">
        <f aca="false">C$41-C$36</f>
        <v>936385</v>
      </c>
      <c r="D50" s="10" t="n">
        <f aca="false">D$41-D$36</f>
        <v>1468312.5</v>
      </c>
      <c r="E50" s="10" t="n">
        <f aca="false">E$41-E$36</f>
        <v>-93637.5000000002</v>
      </c>
    </row>
    <row r="51" customFormat="false" ht="15" hidden="false" customHeight="false" outlineLevel="0" collapsed="false">
      <c r="B51" s="8" t="n">
        <v>3</v>
      </c>
      <c r="C51" s="10" t="n">
        <f aca="false">C$42-C$36</f>
        <v>1905409</v>
      </c>
      <c r="D51" s="10" t="n">
        <f aca="false">D$42-D$36</f>
        <v>2179173.3</v>
      </c>
      <c r="E51" s="10" t="n">
        <f aca="false">E$42-E$36</f>
        <v>738362.5</v>
      </c>
    </row>
    <row r="52" customFormat="false" ht="15" hidden="false" customHeight="false" outlineLevel="0" collapsed="false">
      <c r="B52" s="8" t="n">
        <v>4</v>
      </c>
      <c r="C52" s="10" t="n">
        <f aca="false">C$43-C$36</f>
        <v>2088732.52</v>
      </c>
      <c r="D52" s="10" t="n">
        <f aca="false">D$43-D$36</f>
        <v>2433911.732</v>
      </c>
      <c r="E52" s="10" t="n">
        <f aca="false">E$43-E$36</f>
        <v>1650362.5</v>
      </c>
    </row>
    <row r="53" customFormat="false" ht="15" hidden="false" customHeight="false" outlineLevel="0" collapsed="false">
      <c r="B53" s="8" t="s">
        <v>269</v>
      </c>
      <c r="C53" s="10" t="n">
        <f aca="false">C$44-C$36+C$44*(1+C$22)/C$29*(1-$C$15)-C$34</f>
        <v>38230823.2524997</v>
      </c>
      <c r="D53" s="10" t="n">
        <f aca="false">D$44-D$36+D$44*(1+D$22)/D$29*(1-$C$15)-D$34</f>
        <v>48733539.7811397</v>
      </c>
      <c r="E53" s="10" t="n">
        <f aca="false">E$44-E$36+E$44*(1+E$22)/E$29*(1-$C$15)-E$34</f>
        <v>24132140.4310345</v>
      </c>
    </row>
    <row r="54" customFormat="false" ht="15" hidden="false" customHeight="false" outlineLevel="0" collapsed="false">
      <c r="B54" s="11" t="s">
        <v>219</v>
      </c>
      <c r="C54" s="25" t="n">
        <f aca="false">IFERROR(IRR(C48:C53),0)</f>
        <v>0.143513314878134</v>
      </c>
      <c r="D54" s="25" t="n">
        <f aca="false">IFERROR(IRR(D48:D53),0)</f>
        <v>0.208557144257893</v>
      </c>
      <c r="E54" s="25" t="n">
        <f aca="false">IFERROR(IRR(E48:E53),0)</f>
        <v>0.0249740806184384</v>
      </c>
    </row>
    <row r="55" customFormat="false" ht="15" hidden="false" customHeight="false" outlineLevel="0" collapsed="false">
      <c r="B55" s="11" t="s">
        <v>220</v>
      </c>
      <c r="C55" s="32" t="n">
        <f aca="false">IFERROR(SUM(C49:C53)/C$35,0)</f>
        <v>1.89729261925191</v>
      </c>
      <c r="D55" s="32" t="n">
        <f aca="false">IFERROR(SUM(D49:D53)/D$35,0)</f>
        <v>2.4466932983967</v>
      </c>
      <c r="E55" s="32" t="n">
        <f aca="false">IFERROR(SUM(E49:E53)/E$35,0)</f>
        <v>1.12862275499987</v>
      </c>
    </row>
    <row r="56" customFormat="false" ht="22.35" hidden="false" customHeight="false" outlineLevel="0" collapsed="false">
      <c r="B56" s="8" t="s">
        <v>270</v>
      </c>
      <c r="C56" s="30" t="n">
        <f aca="false">IFERROR(MIN(C40:C41)/C$36,0)</f>
        <v>0.974866717440975</v>
      </c>
      <c r="D56" s="30" t="n">
        <f aca="false">IFERROR(MIN(D40:D41)/D$36,0)</f>
        <v>1.16247388974662</v>
      </c>
      <c r="E56" s="30" t="n">
        <f aca="false">IFERROR(MIN(E40:E41)/E$36,0)</f>
        <v>0.949484459609821</v>
      </c>
      <c r="F56" s="5" t="s">
        <v>271</v>
      </c>
    </row>
    <row r="57" customFormat="false" ht="15" hidden="false" customHeight="false" outlineLevel="0" collapsed="false">
      <c r="B57" s="8" t="s">
        <v>272</v>
      </c>
      <c r="C57" s="30" t="n">
        <f aca="false">IFERROR(MIN(C42:C44)/C$36,0)</f>
        <v>2.05540898705255</v>
      </c>
      <c r="D57" s="30" t="n">
        <f aca="false">IFERROR(MIN(D42:D44)/D$36,0)</f>
        <v>2.21790003003989</v>
      </c>
      <c r="E57" s="30" t="n">
        <f aca="false">IFERROR(MIN(E42:E44)/E$36,0)</f>
        <v>1.3983316586981</v>
      </c>
    </row>
    <row r="58" customFormat="false" ht="15" hidden="false" customHeight="false" outlineLevel="0" collapsed="false">
      <c r="B58" s="8" t="s">
        <v>273</v>
      </c>
      <c r="C58" s="10" t="n">
        <f aca="false">MAX(0,C$36-C$40)+MAX(0,C$36-C$41)</f>
        <v>45375.0000000002</v>
      </c>
      <c r="D58" s="10" t="n">
        <f aca="false">MAX(0,D$36-D$40)+MAX(0,D$36-D$41)</f>
        <v>0</v>
      </c>
      <c r="E58" s="10" t="n">
        <f aca="false">MAX(0,E$36-E$40)+MAX(0,E$36-E$41)</f>
        <v>187275</v>
      </c>
      <c r="F58" s="5" t="s">
        <v>274</v>
      </c>
    </row>
    <row r="59" customFormat="false" ht="15" hidden="false" customHeight="false" outlineLevel="0" collapsed="false">
      <c r="B59" s="8" t="s">
        <v>221</v>
      </c>
      <c r="C59" s="10" t="n">
        <f aca="false">IFERROR(C$44*(1+C$22)/C$29,0)</f>
        <v>64698748.7379692</v>
      </c>
      <c r="D59" s="10" t="n">
        <f aca="false">IFERROR(D$44*(1+D$22)/D$29,0)</f>
        <v>74682436.6292992</v>
      </c>
      <c r="E59" s="10" t="n">
        <f aca="false">IFERROR(E$44*(1+E$22)/E$29,0)</f>
        <v>51626068.9655172</v>
      </c>
    </row>
    <row r="60" customFormat="false" ht="15" hidden="false" customHeight="false" outlineLevel="0" collapsed="false">
      <c r="B60" s="8" t="s">
        <v>275</v>
      </c>
      <c r="C60" s="30" t="n">
        <f aca="false">IFERROR(C$59/C$33,0)</f>
        <v>1.28116334134593</v>
      </c>
      <c r="D60" s="30" t="n">
        <f aca="false">IFERROR(D$59/D$33,0)</f>
        <v>1.49215657600997</v>
      </c>
      <c r="E60" s="30" t="n">
        <f aca="false">IFERROR(E$59/E$33,0)</f>
        <v>0.99568117580554</v>
      </c>
    </row>
    <row r="61" customFormat="false" ht="32.8" hidden="false" customHeight="false" outlineLevel="0" collapsed="false">
      <c r="B61" s="4" t="s">
        <v>276</v>
      </c>
      <c r="C61" s="4" t="str">
        <f aca="false">IF(C$57&gt;=1.2,"Yes","NO — covenant breach")</f>
        <v>Yes</v>
      </c>
      <c r="D61" s="4" t="str">
        <f aca="false">IF(D$57&gt;=1.2,"Yes","NO — covenant breach")</f>
        <v>Yes</v>
      </c>
      <c r="E61" s="4" t="str">
        <f aca="false">IF(E$57&gt;=1.2,"Yes","NO — covenant breach")</f>
        <v>Yes</v>
      </c>
      <c r="F61" s="5" t="s">
        <v>277</v>
      </c>
    </row>
    <row r="63" customFormat="false" ht="31.5" hidden="false" customHeight="true" outlineLevel="0" collapsed="false">
      <c r="B63" s="6" t="s">
        <v>278</v>
      </c>
      <c r="C63" s="6"/>
      <c r="D63" s="6"/>
      <c r="E63" s="6"/>
      <c r="F63" s="6"/>
    </row>
    <row r="64" customFormat="false" ht="45.75" hidden="false" customHeight="true" outlineLevel="0" collapsed="false">
      <c r="B64" s="6" t="s">
        <v>279</v>
      </c>
      <c r="C64" s="6"/>
      <c r="D64" s="6"/>
      <c r="E64" s="6"/>
      <c r="F64" s="6"/>
    </row>
  </sheetData>
  <mergeCells count="3">
    <mergeCell ref="B4:F4"/>
    <mergeCell ref="B63:F63"/>
    <mergeCell ref="B64:F6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8"/>
    <col collapsed="false" customWidth="true" hidden="false" outlineLevel="0" max="3" min="3" style="0" width="76"/>
    <col collapsed="false" customWidth="true" hidden="false" outlineLevel="0" max="6" min="4" style="0" width="17"/>
  </cols>
  <sheetData>
    <row r="2" customFormat="false" ht="64.15" hidden="false" customHeight="false" outlineLevel="0" collapsed="false">
      <c r="B2" s="1" t="s">
        <v>280</v>
      </c>
    </row>
    <row r="4" customFormat="false" ht="31.5" hidden="false" customHeight="true" outlineLevel="0" collapsed="false">
      <c r="B4" s="6" t="s">
        <v>281</v>
      </c>
      <c r="C4" s="6"/>
      <c r="D4" s="6"/>
      <c r="E4" s="6"/>
      <c r="F4" s="6"/>
    </row>
    <row r="6" customFormat="false" ht="27.75" hidden="false" customHeight="true" outlineLevel="0" collapsed="false">
      <c r="B6" s="7" t="s">
        <v>282</v>
      </c>
      <c r="C6" s="7" t="s">
        <v>283</v>
      </c>
      <c r="D6" s="7" t="s">
        <v>284</v>
      </c>
      <c r="E6" s="7" t="s">
        <v>285</v>
      </c>
      <c r="F6" s="7" t="s">
        <v>286</v>
      </c>
    </row>
    <row r="7" customFormat="false" ht="15" hidden="false" customHeight="false" outlineLevel="0" collapsed="false">
      <c r="B7" s="35" t="s">
        <v>287</v>
      </c>
      <c r="C7" s="35"/>
      <c r="D7" s="35"/>
      <c r="E7" s="35"/>
      <c r="F7" s="35"/>
    </row>
    <row r="8" customFormat="false" ht="15" hidden="false" customHeight="false" outlineLevel="0" collapsed="false">
      <c r="B8" s="36" t="n">
        <v>1</v>
      </c>
      <c r="C8" s="2" t="s">
        <v>288</v>
      </c>
      <c r="D8" s="20" t="s">
        <v>289</v>
      </c>
      <c r="E8" s="37"/>
      <c r="F8" s="37"/>
    </row>
    <row r="9" customFormat="false" ht="15" hidden="false" customHeight="false" outlineLevel="0" collapsed="false">
      <c r="B9" s="36" t="n">
        <v>2</v>
      </c>
      <c r="C9" s="2" t="s">
        <v>290</v>
      </c>
      <c r="D9" s="20" t="s">
        <v>289</v>
      </c>
      <c r="E9" s="37"/>
      <c r="F9" s="37"/>
    </row>
    <row r="10" customFormat="false" ht="15" hidden="false" customHeight="false" outlineLevel="0" collapsed="false">
      <c r="B10" s="36" t="n">
        <v>3</v>
      </c>
      <c r="C10" s="2" t="s">
        <v>291</v>
      </c>
      <c r="D10" s="20" t="s">
        <v>289</v>
      </c>
      <c r="E10" s="37"/>
      <c r="F10" s="37"/>
    </row>
    <row r="11" customFormat="false" ht="15" hidden="false" customHeight="false" outlineLevel="0" collapsed="false">
      <c r="B11" s="36" t="n">
        <v>4</v>
      </c>
      <c r="C11" s="2" t="s">
        <v>292</v>
      </c>
      <c r="D11" s="20" t="s">
        <v>289</v>
      </c>
      <c r="E11" s="37"/>
      <c r="F11" s="37"/>
    </row>
    <row r="12" customFormat="false" ht="15" hidden="false" customHeight="false" outlineLevel="0" collapsed="false">
      <c r="B12" s="36" t="n">
        <v>5</v>
      </c>
      <c r="C12" s="2" t="s">
        <v>293</v>
      </c>
      <c r="D12" s="20" t="s">
        <v>289</v>
      </c>
      <c r="E12" s="37"/>
      <c r="F12" s="37"/>
    </row>
    <row r="13" customFormat="false" ht="15" hidden="false" customHeight="false" outlineLevel="0" collapsed="false">
      <c r="B13" s="36" t="n">
        <v>6</v>
      </c>
      <c r="C13" s="2" t="s">
        <v>294</v>
      </c>
      <c r="D13" s="20" t="s">
        <v>289</v>
      </c>
      <c r="E13" s="37"/>
      <c r="F13" s="37"/>
    </row>
    <row r="14" customFormat="false" ht="15" hidden="false" customHeight="false" outlineLevel="0" collapsed="false">
      <c r="B14" s="36" t="n">
        <v>7</v>
      </c>
      <c r="C14" s="2" t="s">
        <v>295</v>
      </c>
      <c r="D14" s="20" t="s">
        <v>289</v>
      </c>
      <c r="E14" s="37"/>
      <c r="F14" s="37"/>
    </row>
    <row r="15" customFormat="false" ht="15" hidden="false" customHeight="false" outlineLevel="0" collapsed="false">
      <c r="B15" s="35" t="s">
        <v>296</v>
      </c>
      <c r="C15" s="35"/>
      <c r="D15" s="35"/>
      <c r="E15" s="35"/>
      <c r="F15" s="35"/>
    </row>
    <row r="16" customFormat="false" ht="15" hidden="false" customHeight="false" outlineLevel="0" collapsed="false">
      <c r="B16" s="36" t="n">
        <v>8</v>
      </c>
      <c r="C16" s="2" t="s">
        <v>297</v>
      </c>
      <c r="D16" s="20" t="s">
        <v>289</v>
      </c>
      <c r="E16" s="37"/>
      <c r="F16" s="37"/>
    </row>
    <row r="17" customFormat="false" ht="15" hidden="false" customHeight="false" outlineLevel="0" collapsed="false">
      <c r="B17" s="36" t="n">
        <v>9</v>
      </c>
      <c r="C17" s="2" t="s">
        <v>298</v>
      </c>
      <c r="D17" s="20" t="s">
        <v>289</v>
      </c>
      <c r="E17" s="37"/>
      <c r="F17" s="37"/>
    </row>
    <row r="18" customFormat="false" ht="15" hidden="false" customHeight="false" outlineLevel="0" collapsed="false">
      <c r="B18" s="36" t="n">
        <v>10</v>
      </c>
      <c r="C18" s="2" t="s">
        <v>299</v>
      </c>
      <c r="D18" s="20" t="s">
        <v>289</v>
      </c>
      <c r="E18" s="37"/>
      <c r="F18" s="37"/>
    </row>
    <row r="19" customFormat="false" ht="15" hidden="false" customHeight="false" outlineLevel="0" collapsed="false">
      <c r="B19" s="36" t="n">
        <v>11</v>
      </c>
      <c r="C19" s="2" t="s">
        <v>300</v>
      </c>
      <c r="D19" s="20" t="s">
        <v>289</v>
      </c>
      <c r="E19" s="37"/>
      <c r="F19" s="37"/>
    </row>
    <row r="20" customFormat="false" ht="15" hidden="false" customHeight="false" outlineLevel="0" collapsed="false">
      <c r="B20" s="35" t="s">
        <v>301</v>
      </c>
      <c r="C20" s="35"/>
      <c r="D20" s="35"/>
      <c r="E20" s="35"/>
      <c r="F20" s="35"/>
    </row>
    <row r="21" customFormat="false" ht="15" hidden="false" customHeight="false" outlineLevel="0" collapsed="false">
      <c r="B21" s="36" t="n">
        <v>12</v>
      </c>
      <c r="C21" s="2" t="s">
        <v>302</v>
      </c>
      <c r="D21" s="20" t="s">
        <v>289</v>
      </c>
      <c r="E21" s="37"/>
      <c r="F21" s="37"/>
    </row>
    <row r="22" customFormat="false" ht="15" hidden="false" customHeight="false" outlineLevel="0" collapsed="false">
      <c r="B22" s="36" t="n">
        <v>13</v>
      </c>
      <c r="C22" s="2" t="s">
        <v>303</v>
      </c>
      <c r="D22" s="20" t="s">
        <v>289</v>
      </c>
      <c r="E22" s="37"/>
      <c r="F22" s="37"/>
    </row>
    <row r="23" customFormat="false" ht="15" hidden="false" customHeight="false" outlineLevel="0" collapsed="false">
      <c r="B23" s="36" t="n">
        <v>14</v>
      </c>
      <c r="C23" s="2" t="s">
        <v>304</v>
      </c>
      <c r="D23" s="20" t="s">
        <v>289</v>
      </c>
      <c r="E23" s="37"/>
      <c r="F23" s="37"/>
    </row>
    <row r="24" customFormat="false" ht="15" hidden="false" customHeight="false" outlineLevel="0" collapsed="false">
      <c r="B24" s="36" t="n">
        <v>15</v>
      </c>
      <c r="C24" s="2" t="s">
        <v>305</v>
      </c>
      <c r="D24" s="20" t="s">
        <v>289</v>
      </c>
      <c r="E24" s="37"/>
      <c r="F24" s="37"/>
    </row>
    <row r="25" customFormat="false" ht="15" hidden="false" customHeight="false" outlineLevel="0" collapsed="false">
      <c r="B25" s="35" t="s">
        <v>306</v>
      </c>
      <c r="C25" s="35"/>
      <c r="D25" s="35"/>
      <c r="E25" s="35"/>
      <c r="F25" s="35"/>
    </row>
    <row r="26" customFormat="false" ht="15" hidden="false" customHeight="false" outlineLevel="0" collapsed="false">
      <c r="B26" s="36" t="n">
        <v>16</v>
      </c>
      <c r="C26" s="2" t="s">
        <v>307</v>
      </c>
      <c r="D26" s="20" t="s">
        <v>289</v>
      </c>
      <c r="E26" s="37"/>
      <c r="F26" s="37"/>
    </row>
    <row r="27" customFormat="false" ht="15" hidden="false" customHeight="false" outlineLevel="0" collapsed="false">
      <c r="B27" s="36" t="n">
        <v>17</v>
      </c>
      <c r="C27" s="2" t="s">
        <v>308</v>
      </c>
      <c r="D27" s="20" t="s">
        <v>289</v>
      </c>
      <c r="E27" s="37"/>
      <c r="F27" s="37"/>
    </row>
    <row r="28" customFormat="false" ht="15" hidden="false" customHeight="false" outlineLevel="0" collapsed="false">
      <c r="B28" s="36" t="n">
        <v>18</v>
      </c>
      <c r="C28" s="2" t="s">
        <v>309</v>
      </c>
      <c r="D28" s="20" t="s">
        <v>289</v>
      </c>
      <c r="E28" s="37"/>
      <c r="F28" s="37"/>
    </row>
    <row r="29" customFormat="false" ht="15" hidden="false" customHeight="false" outlineLevel="0" collapsed="false">
      <c r="B29" s="36" t="n">
        <v>19</v>
      </c>
      <c r="C29" s="2" t="s">
        <v>310</v>
      </c>
      <c r="D29" s="20" t="s">
        <v>289</v>
      </c>
      <c r="E29" s="37"/>
      <c r="F29" s="37"/>
    </row>
    <row r="30" customFormat="false" ht="15" hidden="false" customHeight="false" outlineLevel="0" collapsed="false">
      <c r="B30" s="36" t="n">
        <v>20</v>
      </c>
      <c r="C30" s="2" t="s">
        <v>311</v>
      </c>
      <c r="D30" s="20" t="s">
        <v>289</v>
      </c>
      <c r="E30" s="37"/>
      <c r="F30" s="37"/>
    </row>
    <row r="31" customFormat="false" ht="15" hidden="false" customHeight="false" outlineLevel="0" collapsed="false">
      <c r="B31" s="35" t="s">
        <v>312</v>
      </c>
      <c r="C31" s="35"/>
      <c r="D31" s="35"/>
      <c r="E31" s="35"/>
      <c r="F31" s="35"/>
    </row>
    <row r="32" customFormat="false" ht="15" hidden="false" customHeight="false" outlineLevel="0" collapsed="false">
      <c r="B32" s="36" t="n">
        <v>21</v>
      </c>
      <c r="C32" s="2" t="s">
        <v>313</v>
      </c>
      <c r="D32" s="20" t="s">
        <v>289</v>
      </c>
      <c r="E32" s="37"/>
      <c r="F32" s="37"/>
    </row>
    <row r="33" customFormat="false" ht="15" hidden="false" customHeight="false" outlineLevel="0" collapsed="false">
      <c r="B33" s="36" t="n">
        <v>22</v>
      </c>
      <c r="C33" s="2" t="s">
        <v>314</v>
      </c>
      <c r="D33" s="20" t="s">
        <v>289</v>
      </c>
      <c r="E33" s="37"/>
      <c r="F33" s="37"/>
    </row>
    <row r="34" customFormat="false" ht="15" hidden="false" customHeight="false" outlineLevel="0" collapsed="false">
      <c r="B34" s="36" t="n">
        <v>23</v>
      </c>
      <c r="C34" s="2" t="s">
        <v>315</v>
      </c>
      <c r="D34" s="20" t="s">
        <v>289</v>
      </c>
      <c r="E34" s="37"/>
      <c r="F34" s="37"/>
    </row>
    <row r="35" customFormat="false" ht="15" hidden="false" customHeight="false" outlineLevel="0" collapsed="false">
      <c r="B35" s="36" t="n">
        <v>24</v>
      </c>
      <c r="C35" s="2" t="s">
        <v>316</v>
      </c>
      <c r="D35" s="20" t="s">
        <v>289</v>
      </c>
      <c r="E35" s="37"/>
      <c r="F35" s="37"/>
    </row>
    <row r="36" customFormat="false" ht="15" hidden="false" customHeight="false" outlineLevel="0" collapsed="false">
      <c r="B36" s="35" t="s">
        <v>317</v>
      </c>
      <c r="C36" s="35"/>
      <c r="D36" s="35"/>
      <c r="E36" s="35"/>
      <c r="F36" s="35"/>
    </row>
    <row r="37" customFormat="false" ht="15" hidden="false" customHeight="false" outlineLevel="0" collapsed="false">
      <c r="B37" s="36" t="n">
        <v>25</v>
      </c>
      <c r="C37" s="2" t="s">
        <v>318</v>
      </c>
      <c r="D37" s="20" t="s">
        <v>289</v>
      </c>
      <c r="E37" s="37"/>
      <c r="F37" s="37"/>
    </row>
    <row r="38" customFormat="false" ht="15" hidden="false" customHeight="false" outlineLevel="0" collapsed="false">
      <c r="B38" s="36" t="n">
        <v>26</v>
      </c>
      <c r="C38" s="2" t="s">
        <v>319</v>
      </c>
      <c r="D38" s="20" t="s">
        <v>289</v>
      </c>
      <c r="E38" s="37"/>
      <c r="F38" s="37"/>
    </row>
    <row r="39" customFormat="false" ht="15" hidden="false" customHeight="false" outlineLevel="0" collapsed="false">
      <c r="B39" s="36" t="n">
        <v>27</v>
      </c>
      <c r="C39" s="2" t="s">
        <v>320</v>
      </c>
      <c r="D39" s="20" t="s">
        <v>289</v>
      </c>
      <c r="E39" s="37"/>
      <c r="F39" s="37"/>
    </row>
    <row r="40" customFormat="false" ht="15" hidden="false" customHeight="false" outlineLevel="0" collapsed="false">
      <c r="B40" s="36" t="n">
        <v>28</v>
      </c>
      <c r="C40" s="2" t="s">
        <v>321</v>
      </c>
      <c r="D40" s="20" t="s">
        <v>289</v>
      </c>
      <c r="E40" s="37"/>
      <c r="F40" s="37"/>
    </row>
    <row r="41" customFormat="false" ht="15" hidden="false" customHeight="false" outlineLevel="0" collapsed="false">
      <c r="B41" s="36" t="n">
        <v>29</v>
      </c>
      <c r="C41" s="2" t="s">
        <v>322</v>
      </c>
      <c r="D41" s="20" t="s">
        <v>289</v>
      </c>
      <c r="E41" s="37"/>
      <c r="F41" s="37"/>
    </row>
    <row r="42" customFormat="false" ht="15" hidden="false" customHeight="false" outlineLevel="0" collapsed="false">
      <c r="B42" s="36" t="n">
        <v>30</v>
      </c>
      <c r="C42" s="2" t="s">
        <v>323</v>
      </c>
      <c r="D42" s="20" t="s">
        <v>289</v>
      </c>
      <c r="E42" s="37"/>
      <c r="F42" s="37"/>
    </row>
    <row r="43" customFormat="false" ht="15" hidden="false" customHeight="false" outlineLevel="0" collapsed="false">
      <c r="B43" s="35" t="s">
        <v>324</v>
      </c>
      <c r="C43" s="35"/>
      <c r="D43" s="35"/>
      <c r="E43" s="35"/>
      <c r="F43" s="35"/>
    </row>
    <row r="44" customFormat="false" ht="15" hidden="false" customHeight="false" outlineLevel="0" collapsed="false">
      <c r="B44" s="36" t="n">
        <v>31</v>
      </c>
      <c r="C44" s="2" t="s">
        <v>325</v>
      </c>
      <c r="D44" s="20" t="s">
        <v>289</v>
      </c>
      <c r="E44" s="37"/>
      <c r="F44" s="37"/>
    </row>
    <row r="45" customFormat="false" ht="15" hidden="false" customHeight="false" outlineLevel="0" collapsed="false">
      <c r="B45" s="36" t="n">
        <v>32</v>
      </c>
      <c r="C45" s="2" t="s">
        <v>326</v>
      </c>
      <c r="D45" s="20" t="s">
        <v>289</v>
      </c>
      <c r="E45" s="37"/>
      <c r="F45" s="37"/>
    </row>
    <row r="46" customFormat="false" ht="15" hidden="false" customHeight="false" outlineLevel="0" collapsed="false">
      <c r="B46" s="36" t="n">
        <v>33</v>
      </c>
      <c r="C46" s="2" t="s">
        <v>327</v>
      </c>
      <c r="D46" s="20" t="s">
        <v>289</v>
      </c>
      <c r="E46" s="37"/>
      <c r="F46" s="37"/>
    </row>
    <row r="47" customFormat="false" ht="15" hidden="false" customHeight="false" outlineLevel="0" collapsed="false">
      <c r="B47" s="36" t="n">
        <v>34</v>
      </c>
      <c r="C47" s="2" t="s">
        <v>328</v>
      </c>
      <c r="D47" s="20" t="s">
        <v>289</v>
      </c>
      <c r="E47" s="37"/>
      <c r="F47" s="37"/>
    </row>
    <row r="48" customFormat="false" ht="15" hidden="false" customHeight="false" outlineLevel="0" collapsed="false">
      <c r="B48" s="36" t="n">
        <v>35</v>
      </c>
      <c r="C48" s="2" t="s">
        <v>329</v>
      </c>
      <c r="D48" s="20" t="s">
        <v>289</v>
      </c>
      <c r="E48" s="37"/>
      <c r="F48" s="37"/>
    </row>
    <row r="49" customFormat="false" ht="15" hidden="false" customHeight="false" outlineLevel="0" collapsed="false">
      <c r="B49" s="36" t="n">
        <v>36</v>
      </c>
      <c r="C49" s="2" t="s">
        <v>330</v>
      </c>
      <c r="D49" s="20" t="s">
        <v>289</v>
      </c>
      <c r="E49" s="37"/>
      <c r="F49" s="37"/>
    </row>
    <row r="50" customFormat="false" ht="15" hidden="false" customHeight="false" outlineLevel="0" collapsed="false">
      <c r="B50" s="36" t="n">
        <v>37</v>
      </c>
      <c r="C50" s="2" t="s">
        <v>331</v>
      </c>
      <c r="D50" s="20" t="s">
        <v>289</v>
      </c>
      <c r="E50" s="37"/>
      <c r="F50" s="37"/>
    </row>
    <row r="51" customFormat="false" ht="15" hidden="false" customHeight="false" outlineLevel="0" collapsed="false">
      <c r="B51" s="36" t="n">
        <v>38</v>
      </c>
      <c r="C51" s="2" t="s">
        <v>332</v>
      </c>
      <c r="D51" s="20" t="s">
        <v>289</v>
      </c>
      <c r="E51" s="37"/>
      <c r="F51" s="37"/>
    </row>
    <row r="52" customFormat="false" ht="15" hidden="false" customHeight="false" outlineLevel="0" collapsed="false">
      <c r="B52" s="36" t="n">
        <v>39</v>
      </c>
      <c r="C52" s="2" t="s">
        <v>333</v>
      </c>
      <c r="D52" s="20" t="s">
        <v>289</v>
      </c>
      <c r="E52" s="37"/>
      <c r="F52" s="37"/>
    </row>
    <row r="54" customFormat="false" ht="64.15" hidden="false" customHeight="false" outlineLevel="0" collapsed="false">
      <c r="B54" s="5" t="s">
        <v>334</v>
      </c>
    </row>
    <row r="56" customFormat="false" ht="15" hidden="false" customHeight="false" outlineLevel="0" collapsed="false">
      <c r="C56" s="3" t="s">
        <v>335</v>
      </c>
    </row>
    <row r="57" customFormat="false" ht="27.75" hidden="false" customHeight="true" outlineLevel="0" collapsed="false">
      <c r="C57" s="7"/>
      <c r="D57" s="7" t="s">
        <v>336</v>
      </c>
      <c r="F57" s="7"/>
    </row>
    <row r="58" customFormat="false" ht="15" hidden="false" customHeight="false" outlineLevel="0" collapsed="false">
      <c r="C58" s="8" t="s">
        <v>337</v>
      </c>
      <c r="D58" s="38" t="n">
        <f aca="false">COUNTIF($D$8:$D$52,"Done")+COUNTIF($D$8:$D$52,"Disclosed")+COUNTIF($D$8:$D$52,"Open")</f>
        <v>39</v>
      </c>
      <c r="F58" s="5"/>
    </row>
    <row r="59" customFormat="false" ht="15" hidden="false" customHeight="false" outlineLevel="0" collapsed="false">
      <c r="C59" s="8" t="s">
        <v>338</v>
      </c>
      <c r="D59" s="38" t="n">
        <f aca="false">COUNTIF($D$8:$D$52,"Done")</f>
        <v>0</v>
      </c>
      <c r="F59" s="5"/>
    </row>
    <row r="60" customFormat="false" ht="43.25" hidden="false" customHeight="false" outlineLevel="0" collapsed="false">
      <c r="C60" s="8" t="s">
        <v>339</v>
      </c>
      <c r="D60" s="38" t="n">
        <f aca="false">COUNTIF($D$8:$D$52,"Disclosed")</f>
        <v>0</v>
      </c>
      <c r="F60" s="5" t="s">
        <v>340</v>
      </c>
    </row>
    <row r="61" customFormat="false" ht="22.35" hidden="false" customHeight="false" outlineLevel="0" collapsed="false">
      <c r="C61" s="8" t="s">
        <v>289</v>
      </c>
      <c r="D61" s="38" t="n">
        <f aca="false">COUNTIF($D$8:$D$52,"Open")</f>
        <v>39</v>
      </c>
      <c r="F61" s="5" t="s">
        <v>341</v>
      </c>
    </row>
    <row r="62" customFormat="false" ht="15" hidden="false" customHeight="false" outlineLevel="0" collapsed="false">
      <c r="C62" s="8" t="s">
        <v>342</v>
      </c>
      <c r="D62" s="38" t="n">
        <f aca="false">COUNTIF($D$8:$D$52,"N/A")</f>
        <v>0</v>
      </c>
      <c r="F62" s="5"/>
    </row>
    <row r="63" customFormat="false" ht="15" hidden="false" customHeight="false" outlineLevel="0" collapsed="false">
      <c r="C63" s="4" t="s">
        <v>343</v>
      </c>
      <c r="D63" s="39" t="str">
        <f aca="false">IF(COUNTIF($D$8:$D$52,"Open")=0,IF(COUNTIFS($D$8:$D$52,"Disclosed",$F$8:$F$52,"")=0,"Yes","Disclosures missing a note"),"Not yet")</f>
        <v>Not yet</v>
      </c>
    </row>
    <row r="64" customFormat="false" ht="15" hidden="false" customHeight="false" outlineLevel="0" collapsed="false">
      <c r="C64" s="8" t="s">
        <v>344</v>
      </c>
      <c r="D64" s="13" t="n">
        <f aca="false">IFERROR((COUNTIF($D$8:$D$52,"Done")+COUNTIF($D$8:$D$52,"Disclosed"))/MAX(1,52-8+1-COUNTIF($D$8:$D$52,"N/A")),0)</f>
        <v>0</v>
      </c>
    </row>
  </sheetData>
  <mergeCells count="8">
    <mergeCell ref="B4:F4"/>
    <mergeCell ref="B7:F7"/>
    <mergeCell ref="B15:F15"/>
    <mergeCell ref="B20:F20"/>
    <mergeCell ref="B25:F25"/>
    <mergeCell ref="B31:F31"/>
    <mergeCell ref="B36:F36"/>
    <mergeCell ref="B43:F4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2"/>
    <col collapsed="false" customWidth="true" hidden="false" outlineLevel="0" max="4" min="3" style="0" width="18"/>
    <col collapsed="false" customWidth="true" hidden="false" outlineLevel="0" max="5" min="5" style="0" width="11"/>
    <col collapsed="false" customWidth="true" hidden="false" outlineLevel="0" max="6" min="6" style="0" width="44"/>
  </cols>
  <sheetData>
    <row r="2" customFormat="false" ht="17.35" hidden="false" customHeight="false" outlineLevel="0" collapsed="false">
      <c r="B2" s="1" t="s">
        <v>15</v>
      </c>
    </row>
    <row r="4" customFormat="false" ht="15" hidden="false" customHeight="true" outlineLevel="0" collapsed="false">
      <c r="B4" s="6" t="s">
        <v>345</v>
      </c>
      <c r="C4" s="6"/>
      <c r="D4" s="6"/>
      <c r="E4" s="6"/>
      <c r="F4" s="6"/>
    </row>
    <row r="6" customFormat="false" ht="27.75" hidden="false" customHeight="true" outlineLevel="0" collapsed="false">
      <c r="B6" s="7" t="s">
        <v>346</v>
      </c>
      <c r="C6" s="7" t="s">
        <v>347</v>
      </c>
      <c r="D6" s="7" t="s">
        <v>348</v>
      </c>
      <c r="E6" s="7" t="s">
        <v>284</v>
      </c>
      <c r="F6" s="7" t="s">
        <v>349</v>
      </c>
    </row>
    <row r="7" customFormat="false" ht="15" hidden="false" customHeight="false" outlineLevel="0" collapsed="false">
      <c r="B7" s="8" t="s">
        <v>159</v>
      </c>
      <c r="C7" s="10" t="n">
        <v>80000000</v>
      </c>
      <c r="D7" s="10" t="n">
        <f aca="false">'Yield on Cost'!$C$15</f>
        <v>80000000</v>
      </c>
      <c r="E7" s="40" t="str">
        <f aca="false">IF(ABS(D7-C7)&lt;=1,"OK","ECART")</f>
        <v>OK</v>
      </c>
      <c r="F7" s="5" t="s">
        <v>350</v>
      </c>
    </row>
    <row r="8" customFormat="false" ht="15" hidden="false" customHeight="false" outlineLevel="0" collapsed="false">
      <c r="B8" s="8" t="s">
        <v>163</v>
      </c>
      <c r="C8" s="10" t="n">
        <v>5600000</v>
      </c>
      <c r="D8" s="10" t="n">
        <f aca="false">'Yield on Cost'!$C$20</f>
        <v>5600000</v>
      </c>
      <c r="E8" s="40" t="str">
        <f aca="false">IF(ABS(D8-C8)&lt;=1,"OK","ECART")</f>
        <v>OK</v>
      </c>
      <c r="F8" s="5" t="s">
        <v>351</v>
      </c>
    </row>
    <row r="9" customFormat="false" ht="15" hidden="false" customHeight="false" outlineLevel="0" collapsed="false">
      <c r="B9" s="8" t="s">
        <v>167</v>
      </c>
      <c r="C9" s="17" t="n">
        <v>0.07</v>
      </c>
      <c r="D9" s="17" t="n">
        <f aca="false">'Yield on Cost'!$C$22</f>
        <v>0.07</v>
      </c>
      <c r="E9" s="40" t="str">
        <f aca="false">IF(ABS(D9-C9)&lt;=0.00005,"OK","ECART")</f>
        <v>OK</v>
      </c>
      <c r="F9" s="5" t="s">
        <v>352</v>
      </c>
    </row>
    <row r="10" customFormat="false" ht="15" hidden="false" customHeight="false" outlineLevel="0" collapsed="false">
      <c r="B10" s="8" t="s">
        <v>353</v>
      </c>
      <c r="C10" s="17" t="n">
        <v>0.0575</v>
      </c>
      <c r="D10" s="17" t="n">
        <f aca="false">'Yield on Cost'!$C$21</f>
        <v>0.0575</v>
      </c>
      <c r="E10" s="40" t="str">
        <f aca="false">IF(ABS(D10-C10)&lt;=0.00005,"OK","ECART")</f>
        <v>OK</v>
      </c>
      <c r="F10" s="5" t="s">
        <v>354</v>
      </c>
    </row>
    <row r="11" customFormat="false" ht="15" hidden="false" customHeight="false" outlineLevel="0" collapsed="false">
      <c r="B11" s="8" t="s">
        <v>355</v>
      </c>
      <c r="C11" s="10" t="n">
        <v>97400000</v>
      </c>
      <c r="D11" s="10" t="n">
        <f aca="false">'Yield on Cost'!$C$23</f>
        <v>97391304.3478261</v>
      </c>
      <c r="E11" s="40" t="str">
        <f aca="false">IF(ABS(D11-C11)&lt;=60000,"OK","ECART")</f>
        <v>OK</v>
      </c>
      <c r="F11" s="5" t="s">
        <v>356</v>
      </c>
    </row>
    <row r="12" customFormat="false" ht="15" hidden="false" customHeight="false" outlineLevel="0" collapsed="false">
      <c r="B12" s="8" t="s">
        <v>357</v>
      </c>
      <c r="C12" s="17" t="n">
        <v>0.0125</v>
      </c>
      <c r="D12" s="17" t="n">
        <f aca="false">'Yield on Cost'!$C$24</f>
        <v>0.0125</v>
      </c>
      <c r="E12" s="40" t="str">
        <f aca="false">IF(ABS(D12-C12)&lt;=0.00005,"OK","ECART")</f>
        <v>OK</v>
      </c>
      <c r="F12" s="5" t="s">
        <v>358</v>
      </c>
    </row>
    <row r="13" customFormat="false" ht="15" hidden="false" customHeight="false" outlineLevel="0" collapsed="false">
      <c r="B13" s="8" t="s">
        <v>359</v>
      </c>
      <c r="C13" s="17" t="n">
        <v>0.063636</v>
      </c>
      <c r="D13" s="17" t="n">
        <f aca="false">'Yield on Cost'!$D$33</f>
        <v>0.0636363636363636</v>
      </c>
      <c r="E13" s="40" t="str">
        <f aca="false">IF(ABS(D13-C13)&lt;=0.00005,"OK","ECART")</f>
        <v>OK</v>
      </c>
      <c r="F13" s="5" t="s">
        <v>360</v>
      </c>
    </row>
    <row r="14" customFormat="false" ht="15" hidden="false" customHeight="false" outlineLevel="0" collapsed="false">
      <c r="B14" s="8" t="s">
        <v>361</v>
      </c>
      <c r="C14" s="13" t="n">
        <v>0.65</v>
      </c>
      <c r="D14" s="13" t="n">
        <f aca="false">Scenarios!$C$16</f>
        <v>0.65</v>
      </c>
      <c r="E14" s="40" t="str">
        <f aca="false">IF(ABS(D14-C14)&lt;=0.00005,"OK","ECART")</f>
        <v>OK</v>
      </c>
      <c r="F14" s="5" t="s">
        <v>362</v>
      </c>
    </row>
    <row r="15" customFormat="false" ht="15" hidden="false" customHeight="false" outlineLevel="0" collapsed="false">
      <c r="B15" s="8" t="s">
        <v>363</v>
      </c>
      <c r="C15" s="13" t="n">
        <v>0.9</v>
      </c>
      <c r="D15" s="13" t="n">
        <f aca="false">Scenarios!$C$25</f>
        <v>0.9</v>
      </c>
      <c r="E15" s="40" t="str">
        <f aca="false">IF(ABS(D15-C15)&lt;=0.00005,"OK","ECART")</f>
        <v>OK</v>
      </c>
      <c r="F15" s="5" t="s">
        <v>364</v>
      </c>
    </row>
    <row r="16" customFormat="false" ht="15" hidden="false" customHeight="false" outlineLevel="0" collapsed="false">
      <c r="B16" s="8" t="s">
        <v>365</v>
      </c>
      <c r="C16" s="17" t="n">
        <v>0</v>
      </c>
      <c r="D16" s="17" t="n">
        <f aca="false">Scenarios!$E$21</f>
        <v>0</v>
      </c>
      <c r="E16" s="40" t="str">
        <f aca="false">IF(ABS(D16-C16)&lt;=0.00005,"OK","ECART")</f>
        <v>OK</v>
      </c>
      <c r="F16" s="5" t="s">
        <v>366</v>
      </c>
    </row>
    <row r="17" customFormat="false" ht="15" hidden="false" customHeight="false" outlineLevel="0" collapsed="false">
      <c r="B17" s="8" t="s">
        <v>367</v>
      </c>
      <c r="C17" s="24" t="n">
        <v>1.15</v>
      </c>
      <c r="D17" s="24" t="n">
        <f aca="false">Scenarios!$E$28</f>
        <v>1.15</v>
      </c>
      <c r="E17" s="40" t="str">
        <f aca="false">IF(ABS(D17-C17)&lt;=0.0005,"OK","ECART")</f>
        <v>OK</v>
      </c>
      <c r="F17" s="5" t="s">
        <v>368</v>
      </c>
    </row>
    <row r="18" customFormat="false" ht="15" hidden="false" customHeight="false" outlineLevel="0" collapsed="false">
      <c r="B18" s="8" t="s">
        <v>369</v>
      </c>
      <c r="C18" s="17" t="n">
        <v>0.0075</v>
      </c>
      <c r="D18" s="17" t="n">
        <f aca="false">Scenarios!$E$29-Scenarios!$C$29</f>
        <v>0.00749999999999999</v>
      </c>
      <c r="E18" s="40" t="str">
        <f aca="false">IF(ABS(D18-C18)&lt;=0.00005,"OK","ECART")</f>
        <v>OK</v>
      </c>
      <c r="F18" s="5" t="s">
        <v>370</v>
      </c>
    </row>
    <row r="19" customFormat="false" ht="15" hidden="false" customHeight="false" outlineLevel="0" collapsed="false">
      <c r="B19" s="8" t="s">
        <v>371</v>
      </c>
      <c r="C19" s="13" t="n">
        <v>0</v>
      </c>
      <c r="D19" s="13" t="n">
        <f aca="false">Scenarios!$E$24-Scenarios!$E$23</f>
        <v>0</v>
      </c>
      <c r="E19" s="40" t="str">
        <f aca="false">IF(ABS(D19-C19)&lt;=0.00005,"OK","ECART")</f>
        <v>OK</v>
      </c>
      <c r="F19" s="5" t="s">
        <v>372</v>
      </c>
    </row>
    <row r="21" customFormat="false" ht="15" hidden="false" customHeight="false" outlineLevel="0" collapsed="false">
      <c r="B21" s="3" t="s">
        <v>373</v>
      </c>
    </row>
    <row r="22" customFormat="false" ht="27.75" hidden="false" customHeight="true" outlineLevel="0" collapsed="false">
      <c r="B22" s="7" t="s">
        <v>346</v>
      </c>
      <c r="C22" s="7" t="s">
        <v>347</v>
      </c>
      <c r="D22" s="7" t="s">
        <v>348</v>
      </c>
      <c r="E22" s="7" t="s">
        <v>284</v>
      </c>
      <c r="F22" s="7" t="s">
        <v>119</v>
      </c>
    </row>
    <row r="23" customFormat="false" ht="15" hidden="false" customHeight="false" outlineLevel="0" collapsed="false">
      <c r="B23" s="8" t="s">
        <v>374</v>
      </c>
      <c r="C23" s="30" t="n">
        <f aca="false">'Exit Sensitivity'!$E$34</f>
        <v>2.45440082861891</v>
      </c>
      <c r="D23" s="30" t="n">
        <f aca="false">'Exit Sensitivity'!$E$43</f>
        <v>2.45440082861891</v>
      </c>
      <c r="E23" s="40" t="str">
        <f aca="false">IF(ABS(D23-C23)&lt;=0.0001,"OK","ECART")</f>
        <v>OK</v>
      </c>
      <c r="F23" s="5" t="s">
        <v>375</v>
      </c>
    </row>
    <row r="24" customFormat="false" ht="15" hidden="false" customHeight="false" outlineLevel="0" collapsed="false">
      <c r="B24" s="8" t="s">
        <v>376</v>
      </c>
      <c r="C24" s="10" t="n">
        <f aca="false">'NOI Bridge'!$E$16+'NOI Bridge'!$E$29</f>
        <v>2606000</v>
      </c>
      <c r="D24" s="10" t="n">
        <f aca="false">'NOI Bridge'!$E$31</f>
        <v>2606000</v>
      </c>
      <c r="E24" s="40" t="str">
        <f aca="false">IF(ABS(D24-C24)&lt;=1,"OK","ECART")</f>
        <v>OK</v>
      </c>
      <c r="F24" s="5" t="s">
        <v>377</v>
      </c>
    </row>
    <row r="25" customFormat="false" ht="15" hidden="false" customHeight="false" outlineLevel="0" collapsed="false">
      <c r="B25" s="8" t="s">
        <v>378</v>
      </c>
      <c r="C25" s="10" t="n">
        <f aca="false">SUMPRODUCT('Rent Roll'!$C$7:$C$13,'Rent Roll'!$D$7:$D$13)</f>
        <v>1987800</v>
      </c>
      <c r="D25" s="10" t="n">
        <f aca="false">'Rent Roll'!$J$14</f>
        <v>1987800</v>
      </c>
      <c r="E25" s="40" t="str">
        <f aca="false">IF(ABS(D25-C25)&lt;=1,"OK","ECART")</f>
        <v>OK</v>
      </c>
      <c r="F25" s="5"/>
    </row>
    <row r="26" customFormat="false" ht="15" hidden="false" customHeight="false" outlineLevel="0" collapsed="false">
      <c r="B26" s="8" t="s">
        <v>379</v>
      </c>
      <c r="C26" s="10" t="n">
        <f aca="false">'Rent Roll'!$J$14</f>
        <v>1987800</v>
      </c>
      <c r="D26" s="10" t="n">
        <f aca="false">SUM('Rent Roll'!$C$33:$C$40)</f>
        <v>1987800</v>
      </c>
      <c r="E26" s="40" t="str">
        <f aca="false">IF(ABS(D26-C26)&lt;=1,"OK","ECART")</f>
        <v>OK</v>
      </c>
      <c r="F26" s="5" t="s">
        <v>380</v>
      </c>
    </row>
    <row r="27" customFormat="false" ht="15" hidden="false" customHeight="false" outlineLevel="0" collapsed="false">
      <c r="B27" s="8" t="s">
        <v>381</v>
      </c>
      <c r="C27" s="38" t="n">
        <v>1</v>
      </c>
      <c r="D27" s="38" t="n">
        <f aca="false">IF(Scenarios!$E$55&lt;Scenarios!$C$55,1,0)</f>
        <v>1</v>
      </c>
      <c r="E27" s="40" t="str">
        <f aca="false">IF(ABS(D27-C27)&lt;=0.0001,"OK","ECART")</f>
        <v>OK</v>
      </c>
      <c r="F27" s="5" t="s">
        <v>382</v>
      </c>
    </row>
    <row r="28" customFormat="false" ht="15" hidden="false" customHeight="false" outlineLevel="0" collapsed="false">
      <c r="B28" s="8" t="s">
        <v>383</v>
      </c>
      <c r="C28" s="38" t="n">
        <v>1</v>
      </c>
      <c r="D28" s="38" t="n">
        <f aca="false">IF(Scenarios!$D$55&gt;Scenarios!$C$55,1,0)</f>
        <v>1</v>
      </c>
      <c r="E28" s="40" t="str">
        <f aca="false">IF(ABS(D28-C28)&lt;=0.0001,"OK","ECART")</f>
        <v>OK</v>
      </c>
      <c r="F28" s="5"/>
    </row>
    <row r="31" customFormat="false" ht="15" hidden="false" customHeight="false" outlineLevel="0" collapsed="false">
      <c r="B31" s="4" t="s">
        <v>384</v>
      </c>
      <c r="D31" s="39" t="str">
        <f aca="false">IF(COUNTIF(E7:E19,"OK")+COUNTIF(E23:E28,"OK")=13+6,"TOUT CONCORDE","VERIFIER")</f>
        <v>TOUT CONCORDE</v>
      </c>
    </row>
  </sheetData>
  <mergeCells count="1">
    <mergeCell ref="B4:F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2026-08-12T19:13:50Z</dcterms:created>
  <dc:creator>openpyxl</dc:creator>
  <dc:description/>
  <dc:language>en-US</dc:language>
  <cp:lastModifiedBy/>
  <dcterms:modified xsi:type="dcterms:W3CDTF">2026-08-12T19:13:50Z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