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Waterfall" sheetId="2" state="visible" r:id="rId4"/>
    <sheet name="Catch-Up Definitions" sheetId="3" state="visible" r:id="rId5"/>
    <sheet name="Sequencing Risk" sheetId="4" state="visible" r:id="rId6"/>
    <sheet name="Checks"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<sst xmlns="http://schemas.openxmlformats.org/spreadsheetml/2006/main" count="216" uniqueCount="184">
  <si>
    <t xml:space="preserve">Real Estate Fund Management — Fund Waterfall Model</t>
  </si>
  <si>
    <t xml:space="preserve">Companion workbook to Chapter 6 (Fund Economics: Fees, Preferred Return and the Waterfall) of "Real Estate Fund Management" by Julian R. Sterling. Free, ungated, and yours to reuse.</t>
  </si>
  <si>
    <t xml:space="preserve">What this workbook does</t>
  </si>
  <si>
    <t xml:space="preserve">Section 6.11 of the book works a single institutional waterfall by hand and arrives at $152,800,000 to the LPs and $17,200,000 to the GP. This workbook reproduces that arithmetic live, so you can change any assumption and watch the split move.</t>
  </si>
  <si>
    <t xml:space="preserve">It then does the thing the book asks you to do at the end of 6.11: it makes the definition of the catch-up an explicit input. The book warns that "when you say 20% promote, you must clarify" what the catch-up is aiming at. Three readings are computed side by side on the Catch-Up Definitions sheet, from the same cash. They are not variations on a theme — they hand the GP $17.2M, $14.0M or $6.0M out of the same $70M of profit.</t>
  </si>
  <si>
    <t xml:space="preserve">Finally, the Sequencing Risk sheet builds the five-asset vignette from 6.12 and shows why a European waterfall and a deal-by-deal waterfall can pay the GP very different amounts on identical total proceeds.</t>
  </si>
  <si>
    <t xml:space="preserve">How to use it</t>
  </si>
  <si>
    <t xml:space="preserve">Type only in the blue cells with a yellow fill. Every black number is a formula. Nothing is hard-coded to make the book's answer appear — clear the inputs and the model empties out rather than lying to you.</t>
  </si>
  <si>
    <t xml:space="preserve">Sheets</t>
  </si>
  <si>
    <t xml:space="preserve">Waterfall</t>
  </si>
  <si>
    <t xml:space="preserve">      The 6.11 example, step by step, in the book's own order: return of capital, preferred return, catch-up, 80/20 split.</t>
  </si>
  <si>
    <t xml:space="preserve">Catch-Up Definitions</t>
  </si>
  <si>
    <t xml:space="preserve">      The same fund under three readings of "20% promote". This is the sheet to bring to a term-sheet negotiation.</t>
  </si>
  <si>
    <t xml:space="preserve">Sequencing Risk</t>
  </si>
  <si>
    <t xml:space="preserve">      The 6.12 five-asset vignette: European vs deal-by-deal, and what a clawback would have to recover.</t>
  </si>
  <si>
    <t xml:space="preserve">Checks</t>
  </si>
  <si>
    <t xml:space="preserve">      Every figure the book prints, next to what this workbook computes, with a pass/fail on each.</t>
  </si>
  <si>
    <t xml:space="preserve">A note on the book's own arithmetic</t>
  </si>
  <si>
    <t xml:space="preserve">Section 6.11 observes that the GP ends up with $17.2M of $70M of profit — 24.6%, not the nominal 20% — and attributes this to the treatment of the preferred return. It is worth being precise about why, because the workbook makes it visible: the example pays the GP a catch-up of $14.0M (its full 20%-of-profits target) and then still gives it 20% of the $16.0M that remains. A catch-up that genuinely stopped at 20% of total profits would pay $10.0M, leaving the GP at exactly $14.0M after the residual split. Both constructions appear in real documents. Reading A below is the one printed in the book; Reading B is the one most institutional LPs will insist on. The difference here is $3.2M.</t>
  </si>
  <si>
    <t xml:space="preserve">Source: Real Estate Fund Management, Chapter 6, sections 6.11 and 6.12. All figures in US dollars.</t>
  </si>
  <si>
    <t xml:space="preserve">Fund Waterfall — the Chapter 6.11 example</t>
  </si>
  <si>
    <t xml:space="preserve">Assumptions</t>
  </si>
  <si>
    <t xml:space="preserve">Input</t>
  </si>
  <si>
    <t xml:space="preserve">Value</t>
  </si>
  <si>
    <t xml:space="preserve">Source</t>
  </si>
  <si>
    <t xml:space="preserve">Total LP commitments and contributions</t>
  </si>
  <si>
    <t xml:space="preserve">6.11.1 — "Total LP commitments and contributions: $100,000,000"</t>
  </si>
  <si>
    <t xml:space="preserve">Total distributions at end of fund</t>
  </si>
  <si>
    <t xml:space="preserve">6.11.1 — net of fund-level fees and expenses</t>
  </si>
  <si>
    <t xml:space="preserve">Preferred return (simple, per year)</t>
  </si>
  <si>
    <t xml:space="preserve">6.11.1 — 8% per year, simple, on unreturned contributed capital</t>
  </si>
  <si>
    <t xml:space="preserve">Fund life (years)</t>
  </si>
  <si>
    <t xml:space="preserve">6.11.1 — five years</t>
  </si>
  <si>
    <t xml:space="preserve">GP promote above the pref</t>
  </si>
  <si>
    <t xml:space="preserve">6.11.1 — 20% to GP after pref</t>
  </si>
  <si>
    <t xml:space="preserve">Catch-up rate</t>
  </si>
  <si>
    <t xml:space="preserve">6.11.1 — 100% catch-up</t>
  </si>
  <si>
    <t xml:space="preserve">GP commitment is ignored, exactly as the book does, so the waterfall is visible on its own.</t>
  </si>
  <si>
    <t xml:space="preserve">The waterfall, step by step</t>
  </si>
  <si>
    <t xml:space="preserve">Step</t>
  </si>
  <si>
    <t xml:space="preserve">To LP</t>
  </si>
  <si>
    <t xml:space="preserve">To GP</t>
  </si>
  <si>
    <t xml:space="preserve">Cash remaining</t>
  </si>
  <si>
    <t xml:space="preserve">Note</t>
  </si>
  <si>
    <t xml:space="preserve">Distributions available</t>
  </si>
  <si>
    <t xml:space="preserve">6.11.2</t>
  </si>
  <si>
    <t xml:space="preserve">Step 1 — Return of capital</t>
  </si>
  <si>
    <t xml:space="preserve">LPs receive contributed capital back before anything else.</t>
  </si>
  <si>
    <t xml:space="preserve">Step 2 — Preferred return</t>
  </si>
  <si>
    <t xml:space="preserve">8% x 5 years x $100M = $40M, simple and uncompounded.</t>
  </si>
  <si>
    <t xml:space="preserve">Step 3 — GP catch-up</t>
  </si>
  <si>
    <t xml:space="preserve">Targets 20% of profits above return of capital: 20% x $70M = $14M.</t>
  </si>
  <si>
    <t xml:space="preserve">Step 4 — Residual split 80/20</t>
  </si>
  <si>
    <t xml:space="preserve">The book splits what is left after the catch-up 80/20.</t>
  </si>
  <si>
    <t xml:space="preserve">Total</t>
  </si>
  <si>
    <t xml:space="preserve">What the split means</t>
  </si>
  <si>
    <t xml:space="preserve">Measure</t>
  </si>
  <si>
    <t xml:space="preserve">Profit above return of capital</t>
  </si>
  <si>
    <t xml:space="preserve">The pool the promote is measured against.</t>
  </si>
  <si>
    <t xml:space="preserve">LP total distributions</t>
  </si>
  <si>
    <t xml:space="preserve">Book: $152,800,000</t>
  </si>
  <si>
    <t xml:space="preserve">GP total carry</t>
  </si>
  <si>
    <t xml:space="preserve">Book: $17,200,000</t>
  </si>
  <si>
    <t xml:space="preserve">LP + GP (must equal distributions)</t>
  </si>
  <si>
    <t xml:space="preserve">Book: balances to $170,000,000</t>
  </si>
  <si>
    <t xml:space="preserve">GP share of profit</t>
  </si>
  <si>
    <t xml:space="preserve">Book: 24.6% — above the nominal 20%</t>
  </si>
  <si>
    <t xml:space="preserve">LP net multiple on contributed capital</t>
  </si>
  <si>
    <t xml:space="preserve">Cash returned per dollar contributed.</t>
  </si>
  <si>
    <t xml:space="preserve">LP simple annual return</t>
  </si>
  <si>
    <t xml:space="preserve">Not an IRR: single contribution, single distribution.</t>
  </si>
  <si>
    <t xml:space="preserve">Three readings of "a 20% promote"</t>
  </si>
  <si>
    <t xml:space="preserve">Same fund, same $170M of distributions, same $100M of capital, same 8% pref. The only thing that changes is what the catch-up is aiming at — and that is a definition in a document, not a market convention. The book's closing note to 6.11 is that LP models will test exactly this.</t>
  </si>
  <si>
    <t xml:space="preserve">A — As printed in 6.11</t>
  </si>
  <si>
    <t xml:space="preserve">B — Catch-up to 20% of all profits</t>
  </si>
  <si>
    <t xml:space="preserve">C — Carry on profits above the pref only</t>
  </si>
  <si>
    <t xml:space="preserve">What the document would say</t>
  </si>
  <si>
    <t xml:space="preserve">Return of capital to LP</t>
  </si>
  <si>
    <t xml:space="preserve">Identical in all three.</t>
  </si>
  <si>
    <t xml:space="preserve">Preferred return to LP</t>
  </si>
  <si>
    <t xml:space="preserve">8% x 5 x $100M = $40M.</t>
  </si>
  <si>
    <t xml:space="preserve">Cash left after capital and pref</t>
  </si>
  <si>
    <t xml:space="preserve">GP catch-up</t>
  </si>
  <si>
    <t xml:space="preserve">A: 20% of all profit, paid as catch-up. B: enough to make the GP whole to 20% counting the pref. C: no catch-up at all.</t>
  </si>
  <si>
    <t xml:space="preserve">Residual after catch-up</t>
  </si>
  <si>
    <t xml:space="preserve">Residual split — to LP</t>
  </si>
  <si>
    <t xml:space="preserve">80/20 in every reading.</t>
  </si>
  <si>
    <t xml:space="preserve">Residual split — to GP</t>
  </si>
  <si>
    <t xml:space="preserve">LP total</t>
  </si>
  <si>
    <t xml:space="preserve">GP total</t>
  </si>
  <si>
    <t xml:space="preserve">Check — LP + GP</t>
  </si>
  <si>
    <t xml:space="preserve">Must equal $170,000,000 in every column.</t>
  </si>
  <si>
    <t xml:space="preserve">GP share of the $70M profit</t>
  </si>
  <si>
    <t xml:space="preserve">A: 24.6%   B: 20.0%   C: 8.6%</t>
  </si>
  <si>
    <t xml:space="preserve">Cost to the LP vs reading B</t>
  </si>
  <si>
    <t xml:space="preserve">What the wording is worth, in dollars.</t>
  </si>
  <si>
    <t xml:space="preserve">Reading it</t>
  </si>
  <si>
    <t xml:space="preserve">A is what section 6.11 prints. The catch-up pays the GP its whole 20%-of-profit target, and the GP then also takes 20% of what is left over. That is why the GP lands at 24.6% rather than 20%.</t>
  </si>
  <si>
    <t xml:space="preserve">B is the construction most institutional LPs negotiate for. The catch-up stops as soon as the GP is at 20% of profits counting the pref as part of the profit pool, so the residual split lands the GP at exactly 20%.</t>
  </si>
  <si>
    <t xml:space="preserve">C is the most GP-unfriendly reading in circulation: the pref is a true hurdle, profits below it are not shared at all, and there is no catch-up. Some separate accounts and programmatic JVs are written this way.</t>
  </si>
  <si>
    <t xml:space="preserve">None of the three is wrong. The point of the sheet is that the phrase "20% promote" does not settle the question, and the gap between the first and the last is $11.2M on a $100M fund.</t>
  </si>
  <si>
    <t xml:space="preserve">Sequencing risk — the five-asset vignette from 6.12</t>
  </si>
  <si>
    <t xml:space="preserve">Section 6.12 tells the story without numbers: a fund buys five assets, two outperform and are sold early, the other three are later sold at breakeven, "the LP's final fund return is mediocre, but GP has already taken carry." The figures below are an illustration built to that description — they are not printed in the book. They are scaled to the same $100M fund so the two chapters sit side by side.</t>
  </si>
  <si>
    <t xml:space="preserve">Assets</t>
  </si>
  <si>
    <t xml:space="preserve">Asset</t>
  </si>
  <si>
    <t xml:space="preserve">Equity invested</t>
  </si>
  <si>
    <t xml:space="preserve">Year sold</t>
  </si>
  <si>
    <t xml:space="preserve">Gross proceeds</t>
  </si>
  <si>
    <t xml:space="preserve">Profit</t>
  </si>
  <si>
    <t xml:space="preserve">Asset 1 — outperformer</t>
  </si>
  <si>
    <t xml:space="preserve">Asset 2 — outperformer</t>
  </si>
  <si>
    <t xml:space="preserve">Asset 3 — leasing problems</t>
  </si>
  <si>
    <t xml:space="preserve">Asset 4 — leasing problems</t>
  </si>
  <si>
    <t xml:space="preserve">Asset 5 — leasing problems</t>
  </si>
  <si>
    <t xml:space="preserve">European waterfall — carry only after the whole fund is made whole</t>
  </si>
  <si>
    <t xml:space="preserve">Year 3 distribution</t>
  </si>
  <si>
    <t xml:space="preserve">Year 6 distribution</t>
  </si>
  <si>
    <t xml:space="preserve">Cumulative</t>
  </si>
  <si>
    <t xml:space="preserve">Cash available</t>
  </si>
  <si>
    <t xml:space="preserve">Two sales in year 3, three in year 6.</t>
  </si>
  <si>
    <t xml:space="preserve">Fund-level: every dollar of capital comes back before any carry.</t>
  </si>
  <si>
    <t xml:space="preserve">Preferred return accrued and paid</t>
  </si>
  <si>
    <t xml:space="preserve">8% simple on the unreturned balance: $100M for years 1-3, then the stub for years 4-6.</t>
  </si>
  <si>
    <t xml:space="preserve">Cash left for the promote</t>
  </si>
  <si>
    <t xml:space="preserve">GP carry</t>
  </si>
  <si>
    <t xml:space="preserve">Capped by the cash that is actually left once the LP is whole.</t>
  </si>
  <si>
    <t xml:space="preserve">Deal-by-deal waterfall — carry crystallises at each sale</t>
  </si>
  <si>
    <t xml:space="preserve">Return of capital</t>
  </si>
  <si>
    <t xml:space="preserve">Pref on that asset</t>
  </si>
  <si>
    <t xml:space="preserve">Catch-up</t>
  </si>
  <si>
    <t xml:space="preserve">Residual to GP</t>
  </si>
  <si>
    <t xml:space="preserve">Carry paid in year 3, before the fund knows how the other three end.</t>
  </si>
  <si>
    <t xml:space="preserve">Breakeven: capital back, no pref, no carry.</t>
  </si>
  <si>
    <t xml:space="preserve">The comparison</t>
  </si>
  <si>
    <t xml:space="preserve">Amount</t>
  </si>
  <si>
    <t xml:space="preserve">GP carry — European</t>
  </si>
  <si>
    <t xml:space="preserve">Paid only once the whole fund is whole.</t>
  </si>
  <si>
    <t xml:space="preserve">GP carry — deal-by-deal</t>
  </si>
  <si>
    <t xml:space="preserve">Two-thirds of it banked in year 3.</t>
  </si>
  <si>
    <t xml:space="preserve">Overpayment to be clawed back</t>
  </si>
  <si>
    <t xml:space="preserve">The clawback has to reach money the GP received three years earlier and may have already distributed to its team.</t>
  </si>
  <si>
    <t xml:space="preserve">LP total — European</t>
  </si>
  <si>
    <t xml:space="preserve">LP total — deal-by-deal</t>
  </si>
  <si>
    <t xml:space="preserve">LP shortfall</t>
  </si>
  <si>
    <t xml:space="preserve">Same assets, same proceeds, same fund. Different document.</t>
  </si>
  <si>
    <t xml:space="preserve">Fund gross multiple</t>
  </si>
  <si>
    <t xml:space="preserve">Mediocre, exactly as the vignette says.</t>
  </si>
  <si>
    <t xml:space="preserve">This is the case for a fund-level waterfall, or failing that for a clawback with real teeth: an escrow, a guarantee from the individuals who received the carry, and an interim true-up at each distribution rather than only at the end of fund life.</t>
  </si>
  <si>
    <t xml:space="preserve">Checks — every figure section 6.11 prints</t>
  </si>
  <si>
    <t xml:space="preserve">If a cell in the Status column reads anything other than OK, the workbook no longer reproduces the book.</t>
  </si>
  <si>
    <t xml:space="preserve">Figure</t>
  </si>
  <si>
    <t xml:space="preserve">Book</t>
  </si>
  <si>
    <t xml:space="preserve">This workbook</t>
  </si>
  <si>
    <t xml:space="preserve">Status</t>
  </si>
  <si>
    <t xml:space="preserve">Where</t>
  </si>
  <si>
    <t xml:space="preserve">Remaining after return of capital</t>
  </si>
  <si>
    <t xml:space="preserve">Preferred return</t>
  </si>
  <si>
    <t xml:space="preserve">6.11.3</t>
  </si>
  <si>
    <t xml:space="preserve">Remaining after pref</t>
  </si>
  <si>
    <t xml:space="preserve">Total to LP after pref</t>
  </si>
  <si>
    <t xml:space="preserve">Profits above return of capital</t>
  </si>
  <si>
    <t xml:space="preserve">6.11.4</t>
  </si>
  <si>
    <t xml:space="preserve">GP carry target / catch-up</t>
  </si>
  <si>
    <t xml:space="preserve">Remaining after catch-up</t>
  </si>
  <si>
    <t xml:space="preserve">Residual split to LP</t>
  </si>
  <si>
    <t xml:space="preserve">6.11.5</t>
  </si>
  <si>
    <t xml:space="preserve">Residual split to GP</t>
  </si>
  <si>
    <t xml:space="preserve">6.11.6</t>
  </si>
  <si>
    <t xml:space="preserve">LP + GP balances to distributions</t>
  </si>
  <si>
    <t xml:space="preserve">GP share of profit (book: 24.6%)</t>
  </si>
  <si>
    <t xml:space="preserve">6.11.7 — the book rounds to 24.6%</t>
  </si>
  <si>
    <t xml:space="preserve">All checks</t>
  </si>
  <si>
    <t xml:space="preserve">Cross-checks on the other sheets</t>
  </si>
  <si>
    <t xml:space="preserve">Test</t>
  </si>
  <si>
    <t xml:space="preserve">Expected</t>
  </si>
  <si>
    <t xml:space="preserve">Computed</t>
  </si>
  <si>
    <t xml:space="preserve">Reading A equals the book</t>
  </si>
  <si>
    <t xml:space="preserve">Reading A is the 6.11 construction.</t>
  </si>
  <si>
    <t xml:space="preserve">Reading B lands the GP at exactly 20%</t>
  </si>
  <si>
    <t xml:space="preserve">That is the definition of reading B.</t>
  </si>
  <si>
    <t xml:space="preserve">Three readings all distribute $170M</t>
  </si>
  <si>
    <t xml:space="preserve">No cash created or lost in any column.</t>
  </si>
  <si>
    <t xml:space="preserve">Sequencing: proceeds fully allocated</t>
  </si>
  <si>
    <t xml:space="preserve">European columns must exhaust the cash.</t>
  </si>
</sst>
</file>

<file path=xl/styles.xml><?xml version="1.0" encoding="utf-8"?>
<styleSheet xmlns="http://schemas.openxmlformats.org/spreadsheetml/2006/main">
  <numFmts count="6">
    <numFmt numFmtId="164" formatCode="General"/>
    <numFmt numFmtId="165" formatCode="\$#,##0;&quot;($&quot;#,##0\);\-"/>
    <numFmt numFmtId="166" formatCode="0.0%;\(0.0%\);\-"/>
    <numFmt numFmtId="167" formatCode="0"/>
    <numFmt numFmtId="168" formatCode="0.00\x"/>
    <numFmt numFmtId="169" formatCode="0.00%;\(0.00%\);\-"/>
  </numFmts>
  <fonts count="11">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sz val="10"/>
      <name val="Arial"/>
      <family val="0"/>
      <charset val="1"/>
    </font>
    <font>
      <b val="true"/>
      <sz val="11"/>
      <color rgb="FF1F3864"/>
      <name val="Arial"/>
      <family val="0"/>
      <charset val="1"/>
    </font>
    <font>
      <b val="true"/>
      <sz val="10"/>
      <name val="Arial"/>
      <family val="0"/>
      <charset val="1"/>
    </font>
    <font>
      <i val="true"/>
      <sz val="9"/>
      <color rgb="FF595959"/>
      <name val="Arial"/>
      <family val="0"/>
      <charset val="1"/>
    </font>
    <font>
      <b val="true"/>
      <sz val="10"/>
      <color rgb="FFFFFFFF"/>
      <name val="Arial"/>
      <family val="0"/>
      <charset val="1"/>
    </font>
    <font>
      <sz val="10"/>
      <color rgb="FF0000FF"/>
      <name val="Arial"/>
      <family val="0"/>
      <charset val="1"/>
    </font>
  </fonts>
  <fills count="5">
    <fill>
      <patternFill patternType="none"/>
    </fill>
    <fill>
      <patternFill patternType="gray125"/>
    </fill>
    <fill>
      <patternFill patternType="solid">
        <fgColor rgb="FF1F3864"/>
        <bgColor rgb="FF333333"/>
      </patternFill>
    </fill>
    <fill>
      <patternFill patternType="solid">
        <fgColor rgb="FFFFFF00"/>
        <bgColor rgb="FFFFFF00"/>
      </patternFill>
    </fill>
    <fill>
      <patternFill patternType="solid">
        <fgColor rgb="FFEDF2F9"/>
        <bgColor rgb="FFFFFFFF"/>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9" fillId="2"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5" fontId="10" fillId="3" borderId="1" xfId="0" applyFont="true" applyBorder="true" applyAlignment="false" applyProtection="false">
      <alignment horizontal="general" vertical="bottom" textRotation="0" wrapText="false" indent="0" shrinkToFit="false"/>
      <protection locked="true" hidden="false"/>
    </xf>
    <xf numFmtId="166" fontId="10" fillId="3" borderId="1" xfId="0" applyFont="true" applyBorder="true" applyAlignment="false" applyProtection="false">
      <alignment horizontal="general" vertical="bottom" textRotation="0" wrapText="false" indent="0" shrinkToFit="false"/>
      <protection locked="true" hidden="false"/>
    </xf>
    <xf numFmtId="167" fontId="10" fillId="3"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4" fontId="7" fillId="4" borderId="0" xfId="0" applyFont="true" applyBorder="false" applyAlignment="false" applyProtection="false">
      <alignment horizontal="general" vertical="bottom" textRotation="0" wrapText="false" indent="0" shrinkToFit="false"/>
      <protection locked="true" hidden="false"/>
    </xf>
    <xf numFmtId="165" fontId="7" fillId="4" borderId="0" xfId="0" applyFont="tru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6" fontId="5" fillId="0" borderId="0" xfId="0" applyFont="true" applyBorder="false" applyAlignment="false" applyProtection="false">
      <alignment horizontal="general" vertical="bottom" textRotation="0" wrapText="false" indent="0" shrinkToFit="false"/>
      <protection locked="true" hidden="false"/>
    </xf>
    <xf numFmtId="168" fontId="5" fillId="0" borderId="0" xfId="0" applyFont="true" applyBorder="false" applyAlignment="false" applyProtection="false">
      <alignment horizontal="general" vertical="bottom" textRotation="0" wrapText="false" indent="0" shrinkToFit="false"/>
      <protection locked="true" hidden="false"/>
    </xf>
    <xf numFmtId="166" fontId="7" fillId="4"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xf numFmtId="169" fontId="5" fillId="0" borderId="0" xfId="0" applyFont="true" applyBorder="false" applyAlignment="false" applyProtection="false">
      <alignment horizontal="general" vertical="bottom" textRotation="0" wrapText="false" indent="0" shrinkToFit="false"/>
      <protection locked="true" hidden="false"/>
    </xf>
    <xf numFmtId="164" fontId="7" fillId="3"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DF2F9"/>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2" customFormat="false" ht="17.35" hidden="false" customHeight="false" outlineLevel="0" collapsed="false">
      <c r="B2" s="1" t="s">
        <v>0</v>
      </c>
    </row>
    <row r="4" customFormat="false" ht="23.85" hidden="false" customHeight="false" outlineLevel="0" collapsed="false">
      <c r="B4" s="2" t="s">
        <v>1</v>
      </c>
    </row>
    <row r="6" customFormat="false" ht="15" hidden="false" customHeight="false" outlineLevel="0" collapsed="false">
      <c r="B6" s="3" t="s">
        <v>2</v>
      </c>
    </row>
    <row r="7" customFormat="false" ht="23.85" hidden="false" customHeight="false" outlineLevel="0" collapsed="false">
      <c r="B7" s="2" t="s">
        <v>3</v>
      </c>
    </row>
    <row r="8" customFormat="false" ht="46.25" hidden="false" customHeight="false" outlineLevel="0" collapsed="false">
      <c r="B8" s="2" t="s">
        <v>4</v>
      </c>
    </row>
    <row r="9" customFormat="false" ht="23.85" hidden="false" customHeight="false" outlineLevel="0" collapsed="false">
      <c r="B9" s="2" t="s">
        <v>5</v>
      </c>
    </row>
    <row r="11" customFormat="false" ht="15" hidden="false" customHeight="false" outlineLevel="0" collapsed="false">
      <c r="B11" s="3" t="s">
        <v>6</v>
      </c>
    </row>
    <row r="12" customFormat="false" ht="23.85" hidden="false" customHeight="false" outlineLevel="0" collapsed="false">
      <c r="B12" s="2" t="s">
        <v>7</v>
      </c>
    </row>
    <row r="14" customFormat="false" ht="15" hidden="false" customHeight="false" outlineLevel="0" collapsed="false">
      <c r="B14" s="3" t="s">
        <v>8</v>
      </c>
    </row>
    <row r="15" customFormat="false" ht="15" hidden="false" customHeight="false" outlineLevel="0" collapsed="false">
      <c r="B15" s="4" t="s">
        <v>9</v>
      </c>
    </row>
    <row r="16" customFormat="false" ht="15" hidden="false" customHeight="false" outlineLevel="0" collapsed="false">
      <c r="B16" s="2" t="s">
        <v>10</v>
      </c>
    </row>
    <row r="17" customFormat="false" ht="15" hidden="false" customHeight="false" outlineLevel="0" collapsed="false">
      <c r="B17" s="4" t="s">
        <v>11</v>
      </c>
    </row>
    <row r="18" customFormat="false" ht="15" hidden="false" customHeight="false" outlineLevel="0" collapsed="false">
      <c r="B18" s="2" t="s">
        <v>12</v>
      </c>
    </row>
    <row r="19" customFormat="false" ht="15" hidden="false" customHeight="false" outlineLevel="0" collapsed="false">
      <c r="B19" s="4" t="s">
        <v>13</v>
      </c>
    </row>
    <row r="20" customFormat="false" ht="15" hidden="false" customHeight="false" outlineLevel="0" collapsed="false">
      <c r="B20" s="2" t="s">
        <v>14</v>
      </c>
    </row>
    <row r="21" customFormat="false" ht="15" hidden="false" customHeight="false" outlineLevel="0" collapsed="false">
      <c r="B21" s="4" t="s">
        <v>15</v>
      </c>
    </row>
    <row r="22" customFormat="false" ht="15" hidden="false" customHeight="false" outlineLevel="0" collapsed="false">
      <c r="B22" s="2" t="s">
        <v>16</v>
      </c>
    </row>
    <row r="24" customFormat="false" ht="15" hidden="false" customHeight="false" outlineLevel="0" collapsed="false">
      <c r="B24" s="3" t="s">
        <v>17</v>
      </c>
    </row>
    <row r="25" customFormat="false" ht="68.65" hidden="false" customHeight="false" outlineLevel="0" collapsed="false">
      <c r="B25" s="2" t="s">
        <v>18</v>
      </c>
    </row>
    <row r="27" customFormat="false" ht="15" hidden="false" customHeight="false" outlineLevel="0" collapsed="false">
      <c r="B27" s="5" t="s">
        <v>19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2"/>
    <col collapsed="false" customWidth="true" hidden="false" outlineLevel="0" max="5" min="3" style="0" width="17"/>
    <col collapsed="false" customWidth="true" hidden="false" outlineLevel="0" max="6" min="6" style="0" width="44"/>
  </cols>
  <sheetData>
    <row r="2" customFormat="false" ht="17.35" hidden="false" customHeight="false" outlineLevel="0" collapsed="false">
      <c r="B2" s="6" t="s">
        <v>20</v>
      </c>
    </row>
    <row r="4" customFormat="false" ht="15" hidden="false" customHeight="false" outlineLevel="0" collapsed="false">
      <c r="B4" s="7" t="s">
        <v>21</v>
      </c>
    </row>
    <row r="5" customFormat="false" ht="27.75" hidden="false" customHeight="true" outlineLevel="0" collapsed="false">
      <c r="B5" s="8" t="s">
        <v>22</v>
      </c>
      <c r="C5" s="8" t="s">
        <v>23</v>
      </c>
      <c r="F5" s="8" t="s">
        <v>24</v>
      </c>
    </row>
    <row r="6" customFormat="false" ht="22.35" hidden="false" customHeight="false" outlineLevel="0" collapsed="false">
      <c r="B6" s="9" t="s">
        <v>25</v>
      </c>
      <c r="C6" s="10" t="n">
        <v>100000000</v>
      </c>
      <c r="F6" s="5" t="s">
        <v>26</v>
      </c>
    </row>
    <row r="7" customFormat="false" ht="15" hidden="false" customHeight="false" outlineLevel="0" collapsed="false">
      <c r="B7" s="9" t="s">
        <v>27</v>
      </c>
      <c r="C7" s="10" t="n">
        <v>170000000</v>
      </c>
      <c r="F7" s="5" t="s">
        <v>28</v>
      </c>
    </row>
    <row r="8" customFormat="false" ht="22.35" hidden="false" customHeight="false" outlineLevel="0" collapsed="false">
      <c r="B8" s="9" t="s">
        <v>29</v>
      </c>
      <c r="C8" s="11" t="n">
        <v>0.08</v>
      </c>
      <c r="F8" s="5" t="s">
        <v>30</v>
      </c>
    </row>
    <row r="9" customFormat="false" ht="15" hidden="false" customHeight="false" outlineLevel="0" collapsed="false">
      <c r="B9" s="9" t="s">
        <v>31</v>
      </c>
      <c r="C9" s="12" t="n">
        <v>5</v>
      </c>
      <c r="F9" s="5" t="s">
        <v>32</v>
      </c>
    </row>
    <row r="10" customFormat="false" ht="15" hidden="false" customHeight="false" outlineLevel="0" collapsed="false">
      <c r="B10" s="9" t="s">
        <v>33</v>
      </c>
      <c r="C10" s="11" t="n">
        <v>0.2</v>
      </c>
      <c r="F10" s="5" t="s">
        <v>34</v>
      </c>
    </row>
    <row r="11" customFormat="false" ht="15" hidden="false" customHeight="false" outlineLevel="0" collapsed="false">
      <c r="B11" s="9" t="s">
        <v>35</v>
      </c>
      <c r="C11" s="11" t="n">
        <v>1</v>
      </c>
      <c r="F11" s="5" t="s">
        <v>36</v>
      </c>
    </row>
    <row r="13" customFormat="false" ht="15" hidden="false" customHeight="false" outlineLevel="0" collapsed="false">
      <c r="B13" s="13" t="s">
        <v>37</v>
      </c>
    </row>
    <row r="15" customFormat="false" ht="15" hidden="false" customHeight="false" outlineLevel="0" collapsed="false">
      <c r="B15" s="7" t="s">
        <v>38</v>
      </c>
    </row>
    <row r="16" customFormat="false" ht="27.75" hidden="false" customHeight="true" outlineLevel="0" collapsed="false">
      <c r="B16" s="8" t="s">
        <v>39</v>
      </c>
      <c r="C16" s="8" t="s">
        <v>40</v>
      </c>
      <c r="D16" s="8" t="s">
        <v>41</v>
      </c>
      <c r="E16" s="8" t="s">
        <v>42</v>
      </c>
      <c r="F16" s="8" t="s">
        <v>43</v>
      </c>
    </row>
    <row r="17" customFormat="false" ht="15" hidden="false" customHeight="false" outlineLevel="0" collapsed="false">
      <c r="B17" s="14" t="s">
        <v>44</v>
      </c>
      <c r="E17" s="15" t="n">
        <f aca="false">$C$7</f>
        <v>170000000</v>
      </c>
      <c r="F17" s="13" t="s">
        <v>45</v>
      </c>
    </row>
    <row r="18" customFormat="false" ht="15" hidden="false" customHeight="false" outlineLevel="0" collapsed="false">
      <c r="B18" s="9" t="s">
        <v>46</v>
      </c>
      <c r="C18" s="15" t="n">
        <f aca="false">MIN($C$6,E17)</f>
        <v>100000000</v>
      </c>
      <c r="E18" s="15" t="n">
        <f aca="false">E17-C18</f>
        <v>70000000</v>
      </c>
      <c r="F18" s="13" t="s">
        <v>47</v>
      </c>
    </row>
    <row r="19" customFormat="false" ht="15" hidden="false" customHeight="false" outlineLevel="0" collapsed="false">
      <c r="B19" s="9" t="s">
        <v>48</v>
      </c>
      <c r="C19" s="15" t="n">
        <f aca="false">MIN($C$8*$C$9*$C$6,E18)</f>
        <v>40000000</v>
      </c>
      <c r="E19" s="15" t="n">
        <f aca="false">E18-C19</f>
        <v>30000000</v>
      </c>
      <c r="F19" s="13" t="s">
        <v>49</v>
      </c>
    </row>
    <row r="20" customFormat="false" ht="15" hidden="false" customHeight="false" outlineLevel="0" collapsed="false">
      <c r="B20" s="9" t="s">
        <v>50</v>
      </c>
      <c r="D20" s="15" t="n">
        <f aca="false">MIN($C$11*$C$10*($C$7-$C$6),E19)</f>
        <v>14000000</v>
      </c>
      <c r="E20" s="15" t="n">
        <f aca="false">E19-D20</f>
        <v>16000000</v>
      </c>
      <c r="F20" s="13" t="s">
        <v>51</v>
      </c>
    </row>
    <row r="21" customFormat="false" ht="15" hidden="false" customHeight="false" outlineLevel="0" collapsed="false">
      <c r="B21" s="9" t="s">
        <v>52</v>
      </c>
      <c r="C21" s="15" t="n">
        <f aca="false">(1-$C$10)*E20</f>
        <v>12800000</v>
      </c>
      <c r="D21" s="15" t="n">
        <f aca="false">$C$10*E20</f>
        <v>3200000</v>
      </c>
      <c r="E21" s="15" t="n">
        <f aca="false">E20-C21-D21</f>
        <v>0</v>
      </c>
      <c r="F21" s="13" t="s">
        <v>53</v>
      </c>
    </row>
    <row r="22" customFormat="false" ht="15" hidden="false" customHeight="false" outlineLevel="0" collapsed="false">
      <c r="B22" s="16" t="s">
        <v>54</v>
      </c>
      <c r="C22" s="17" t="n">
        <f aca="false">SUM(C18:C21)</f>
        <v>152800000</v>
      </c>
      <c r="D22" s="17" t="n">
        <f aca="false">SUM(D18:D21)</f>
        <v>17200000</v>
      </c>
      <c r="E22" s="17" t="n">
        <f aca="false">E21</f>
        <v>0</v>
      </c>
      <c r="F22" s="18"/>
    </row>
    <row r="24" customFormat="false" ht="15" hidden="false" customHeight="false" outlineLevel="0" collapsed="false">
      <c r="B24" s="7" t="s">
        <v>55</v>
      </c>
    </row>
    <row r="25" customFormat="false" ht="27.75" hidden="false" customHeight="true" outlineLevel="0" collapsed="false">
      <c r="B25" s="8" t="s">
        <v>56</v>
      </c>
      <c r="C25" s="8" t="s">
        <v>23</v>
      </c>
      <c r="F25" s="8" t="s">
        <v>43</v>
      </c>
    </row>
    <row r="26" customFormat="false" ht="15" hidden="false" customHeight="false" outlineLevel="0" collapsed="false">
      <c r="B26" s="9" t="s">
        <v>57</v>
      </c>
      <c r="C26" s="15" t="n">
        <f aca="false">$C$7-$C$6</f>
        <v>70000000</v>
      </c>
      <c r="F26" s="13" t="s">
        <v>58</v>
      </c>
    </row>
    <row r="27" customFormat="false" ht="15" hidden="false" customHeight="false" outlineLevel="0" collapsed="false">
      <c r="B27" s="9" t="s">
        <v>59</v>
      </c>
      <c r="C27" s="15" t="n">
        <f aca="false">C22</f>
        <v>152800000</v>
      </c>
      <c r="F27" s="13" t="s">
        <v>60</v>
      </c>
    </row>
    <row r="28" customFormat="false" ht="15" hidden="false" customHeight="false" outlineLevel="0" collapsed="false">
      <c r="B28" s="9" t="s">
        <v>61</v>
      </c>
      <c r="C28" s="15" t="n">
        <f aca="false">D22</f>
        <v>17200000</v>
      </c>
      <c r="F28" s="13" t="s">
        <v>62</v>
      </c>
    </row>
    <row r="29" customFormat="false" ht="15" hidden="false" customHeight="false" outlineLevel="0" collapsed="false">
      <c r="B29" s="9" t="s">
        <v>63</v>
      </c>
      <c r="C29" s="15" t="n">
        <f aca="false">C22+D22</f>
        <v>170000000</v>
      </c>
      <c r="F29" s="13" t="s">
        <v>64</v>
      </c>
    </row>
    <row r="30" customFormat="false" ht="15" hidden="false" customHeight="false" outlineLevel="0" collapsed="false">
      <c r="B30" s="9" t="s">
        <v>65</v>
      </c>
      <c r="C30" s="19" t="n">
        <f aca="false">IFERROR(D22/($C$7-$C$6),0)</f>
        <v>0.245714285714286</v>
      </c>
      <c r="F30" s="13" t="s">
        <v>66</v>
      </c>
    </row>
    <row r="31" customFormat="false" ht="15" hidden="false" customHeight="false" outlineLevel="0" collapsed="false">
      <c r="B31" s="9" t="s">
        <v>67</v>
      </c>
      <c r="C31" s="20" t="n">
        <f aca="false">IFERROR(C22/$C$6,0)</f>
        <v>1.528</v>
      </c>
      <c r="F31" s="13" t="s">
        <v>68</v>
      </c>
    </row>
    <row r="32" customFormat="false" ht="15" hidden="false" customHeight="false" outlineLevel="0" collapsed="false">
      <c r="B32" s="9" t="s">
        <v>69</v>
      </c>
      <c r="C32" s="19" t="n">
        <f aca="false">IFERROR((C22/$C$6-1)/$C$9,0)</f>
        <v>0.1056</v>
      </c>
      <c r="F32" s="13" t="s">
        <v>70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0"/>
    <col collapsed="false" customWidth="true" hidden="false" outlineLevel="0" max="5" min="3" style="0" width="19"/>
    <col collapsed="false" customWidth="true" hidden="false" outlineLevel="0" max="6" min="6" style="0" width="46"/>
  </cols>
  <sheetData>
    <row r="2" customFormat="false" ht="17.35" hidden="false" customHeight="false" outlineLevel="0" collapsed="false">
      <c r="B2" s="6" t="s">
        <v>71</v>
      </c>
    </row>
    <row r="4" customFormat="false" ht="45.75" hidden="false" customHeight="true" outlineLevel="0" collapsed="false">
      <c r="B4" s="2" t="s">
        <v>72</v>
      </c>
    </row>
    <row r="6" customFormat="false" ht="27.75" hidden="false" customHeight="true" outlineLevel="0" collapsed="false">
      <c r="B6" s="8"/>
      <c r="C6" s="8" t="s">
        <v>73</v>
      </c>
      <c r="D6" s="8" t="s">
        <v>74</v>
      </c>
      <c r="E6" s="8" t="s">
        <v>75</v>
      </c>
      <c r="F6" s="8" t="s">
        <v>76</v>
      </c>
    </row>
    <row r="7" customFormat="false" ht="15" hidden="false" customHeight="false" outlineLevel="0" collapsed="false">
      <c r="B7" s="9" t="s">
        <v>44</v>
      </c>
      <c r="C7" s="15" t="n">
        <f aca="false">Waterfall!$C$7</f>
        <v>170000000</v>
      </c>
      <c r="D7" s="15" t="n">
        <f aca="false">Waterfall!$C$7</f>
        <v>170000000</v>
      </c>
      <c r="E7" s="15" t="n">
        <f aca="false">Waterfall!$C$7</f>
        <v>170000000</v>
      </c>
      <c r="F7" s="5"/>
    </row>
    <row r="8" customFormat="false" ht="15" hidden="false" customHeight="false" outlineLevel="0" collapsed="false">
      <c r="B8" s="9" t="s">
        <v>77</v>
      </c>
      <c r="C8" s="15" t="n">
        <f aca="false">MIN(Waterfall!$C$6,C7)</f>
        <v>100000000</v>
      </c>
      <c r="D8" s="15" t="n">
        <f aca="false">MIN(Waterfall!$C$6,D7)</f>
        <v>100000000</v>
      </c>
      <c r="E8" s="15" t="n">
        <f aca="false">MIN(Waterfall!$C$6,E7)</f>
        <v>100000000</v>
      </c>
      <c r="F8" s="5" t="s">
        <v>78</v>
      </c>
    </row>
    <row r="9" customFormat="false" ht="15" hidden="false" customHeight="false" outlineLevel="0" collapsed="false">
      <c r="B9" s="9" t="s">
        <v>79</v>
      </c>
      <c r="C9" s="15" t="n">
        <f aca="false">MIN(Waterfall!$C$8*Waterfall!$C$9*Waterfall!$C$6,C7-C8)</f>
        <v>40000000</v>
      </c>
      <c r="D9" s="15" t="n">
        <f aca="false">MIN(Waterfall!$C$8*Waterfall!$C$9*Waterfall!$C$6,D7-D8)</f>
        <v>40000000</v>
      </c>
      <c r="E9" s="15" t="n">
        <f aca="false">MIN(Waterfall!$C$8*Waterfall!$C$9*Waterfall!$C$6,E7-E8)</f>
        <v>40000000</v>
      </c>
      <c r="F9" s="5" t="s">
        <v>80</v>
      </c>
    </row>
    <row r="10" customFormat="false" ht="15" hidden="false" customHeight="false" outlineLevel="0" collapsed="false">
      <c r="B10" s="9" t="s">
        <v>81</v>
      </c>
      <c r="C10" s="15" t="n">
        <f aca="false">C7-C8-C9</f>
        <v>30000000</v>
      </c>
      <c r="D10" s="15" t="n">
        <f aca="false">D7-D8-D9</f>
        <v>30000000</v>
      </c>
      <c r="E10" s="15" t="n">
        <f aca="false">E7-E8-E9</f>
        <v>30000000</v>
      </c>
      <c r="F10" s="5"/>
    </row>
    <row r="11" customFormat="false" ht="22.35" hidden="false" customHeight="false" outlineLevel="0" collapsed="false">
      <c r="B11" s="9" t="s">
        <v>82</v>
      </c>
      <c r="C11" s="15" t="n">
        <f aca="false">MIN(Waterfall!$C$10*(Waterfall!$C$7-Waterfall!$C$6),C10)</f>
        <v>14000000</v>
      </c>
      <c r="D11" s="15" t="n">
        <f aca="false">MIN(Waterfall!$C$10/(1-Waterfall!$C$10)*C9,D10)</f>
        <v>10000000</v>
      </c>
      <c r="E11" s="15" t="n">
        <f aca="false">0</f>
        <v>0</v>
      </c>
      <c r="F11" s="5" t="s">
        <v>83</v>
      </c>
    </row>
    <row r="12" customFormat="false" ht="15" hidden="false" customHeight="false" outlineLevel="0" collapsed="false">
      <c r="B12" s="9" t="s">
        <v>84</v>
      </c>
      <c r="C12" s="15" t="n">
        <f aca="false">C10-C11</f>
        <v>16000000</v>
      </c>
      <c r="D12" s="15" t="n">
        <f aca="false">D10-D11</f>
        <v>20000000</v>
      </c>
      <c r="E12" s="15" t="n">
        <f aca="false">E10-E11</f>
        <v>30000000</v>
      </c>
      <c r="F12" s="5"/>
    </row>
    <row r="13" customFormat="false" ht="15" hidden="false" customHeight="false" outlineLevel="0" collapsed="false">
      <c r="B13" s="9" t="s">
        <v>85</v>
      </c>
      <c r="C13" s="15" t="n">
        <f aca="false">(1-Waterfall!$C$10)*C12</f>
        <v>12800000</v>
      </c>
      <c r="D13" s="15" t="n">
        <f aca="false">(1-Waterfall!$C$10)*D12</f>
        <v>16000000</v>
      </c>
      <c r="E13" s="15" t="n">
        <f aca="false">(1-Waterfall!$C$10)*E12</f>
        <v>24000000</v>
      </c>
      <c r="F13" s="5" t="s">
        <v>86</v>
      </c>
    </row>
    <row r="14" customFormat="false" ht="15" hidden="false" customHeight="false" outlineLevel="0" collapsed="false">
      <c r="B14" s="9" t="s">
        <v>87</v>
      </c>
      <c r="C14" s="15" t="n">
        <f aca="false">Waterfall!$C$10*C12</f>
        <v>3200000</v>
      </c>
      <c r="D14" s="15" t="n">
        <f aca="false">Waterfall!$C$10*D12</f>
        <v>4000000</v>
      </c>
      <c r="E14" s="15" t="n">
        <f aca="false">Waterfall!$C$10*E12</f>
        <v>6000000</v>
      </c>
      <c r="F14" s="5"/>
    </row>
    <row r="16" customFormat="false" ht="15" hidden="false" customHeight="false" outlineLevel="0" collapsed="false">
      <c r="B16" s="16" t="s">
        <v>88</v>
      </c>
      <c r="C16" s="17" t="n">
        <f aca="false">C8+C9+C13</f>
        <v>152800000</v>
      </c>
      <c r="D16" s="17" t="n">
        <f aca="false">D8+D9+D13</f>
        <v>156000000</v>
      </c>
      <c r="E16" s="17" t="n">
        <f aca="false">E8+E9+E13</f>
        <v>164000000</v>
      </c>
      <c r="F16" s="13"/>
    </row>
    <row r="17" customFormat="false" ht="15" hidden="false" customHeight="false" outlineLevel="0" collapsed="false">
      <c r="B17" s="16" t="s">
        <v>89</v>
      </c>
      <c r="C17" s="17" t="n">
        <f aca="false">C11+C14</f>
        <v>17200000</v>
      </c>
      <c r="D17" s="17" t="n">
        <f aca="false">D11+D14</f>
        <v>14000000</v>
      </c>
      <c r="E17" s="17" t="n">
        <f aca="false">E11+E14</f>
        <v>6000000</v>
      </c>
      <c r="F17" s="13"/>
    </row>
    <row r="18" customFormat="false" ht="15" hidden="false" customHeight="false" outlineLevel="0" collapsed="false">
      <c r="B18" s="16" t="s">
        <v>90</v>
      </c>
      <c r="C18" s="17" t="n">
        <f aca="false">C16+C17</f>
        <v>170000000</v>
      </c>
      <c r="D18" s="17" t="n">
        <f aca="false">D16+D17</f>
        <v>170000000</v>
      </c>
      <c r="E18" s="17" t="n">
        <f aca="false">E16+E17</f>
        <v>170000000</v>
      </c>
      <c r="F18" s="13" t="s">
        <v>91</v>
      </c>
    </row>
    <row r="19" customFormat="false" ht="15" hidden="false" customHeight="false" outlineLevel="0" collapsed="false">
      <c r="B19" s="16" t="s">
        <v>92</v>
      </c>
      <c r="C19" s="21" t="n">
        <f aca="false">IFERROR(C17/(Waterfall!$C$7-Waterfall!$C$6),0)</f>
        <v>0.245714285714286</v>
      </c>
      <c r="D19" s="21" t="n">
        <f aca="false">IFERROR(D17/(Waterfall!$C$7-Waterfall!$C$6),0)</f>
        <v>0.2</v>
      </c>
      <c r="E19" s="21" t="n">
        <f aca="false">IFERROR(E17/(Waterfall!$C$7-Waterfall!$C$6),0)</f>
        <v>0.0857142857142857</v>
      </c>
      <c r="F19" s="13" t="s">
        <v>93</v>
      </c>
    </row>
    <row r="20" customFormat="false" ht="15" hidden="false" customHeight="false" outlineLevel="0" collapsed="false">
      <c r="B20" s="16" t="s">
        <v>94</v>
      </c>
      <c r="C20" s="17" t="n">
        <f aca="false">IFERROR(C17-$D$17,0)</f>
        <v>3200000</v>
      </c>
      <c r="D20" s="17" t="n">
        <f aca="false">IFERROR(D17-$D$17,0)</f>
        <v>0</v>
      </c>
      <c r="E20" s="17" t="n">
        <f aca="false">IFERROR(E17-$D$17,0)</f>
        <v>-8000000</v>
      </c>
      <c r="F20" s="13" t="s">
        <v>95</v>
      </c>
    </row>
    <row r="22" customFormat="false" ht="15" hidden="false" customHeight="false" outlineLevel="0" collapsed="false">
      <c r="B22" s="7" t="s">
        <v>96</v>
      </c>
    </row>
    <row r="23" customFormat="false" ht="30" hidden="false" customHeight="true" outlineLevel="0" collapsed="false">
      <c r="B23" s="22" t="s">
        <v>97</v>
      </c>
      <c r="C23" s="22"/>
      <c r="D23" s="22"/>
      <c r="E23" s="22"/>
      <c r="F23" s="22"/>
    </row>
    <row r="24" customFormat="false" ht="30" hidden="false" customHeight="true" outlineLevel="0" collapsed="false">
      <c r="B24" s="22" t="s">
        <v>98</v>
      </c>
      <c r="C24" s="22"/>
      <c r="D24" s="22"/>
      <c r="E24" s="22"/>
      <c r="F24" s="22"/>
    </row>
    <row r="25" customFormat="false" ht="30" hidden="false" customHeight="true" outlineLevel="0" collapsed="false">
      <c r="B25" s="22" t="s">
        <v>99</v>
      </c>
      <c r="C25" s="22"/>
      <c r="D25" s="22"/>
      <c r="E25" s="22"/>
      <c r="F25" s="22"/>
    </row>
    <row r="26" customFormat="false" ht="30" hidden="false" customHeight="true" outlineLevel="0" collapsed="false">
      <c r="B26" s="22" t="s">
        <v>100</v>
      </c>
      <c r="C26" s="22"/>
      <c r="D26" s="22"/>
      <c r="E26" s="22"/>
      <c r="F26" s="22"/>
    </row>
  </sheetData>
  <mergeCells count="4">
    <mergeCell ref="B23:F23"/>
    <mergeCell ref="B24:F24"/>
    <mergeCell ref="B25:F25"/>
    <mergeCell ref="B26:F2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7" min="3" style="0" width="16"/>
    <col collapsed="false" customWidth="true" hidden="false" outlineLevel="0" max="8" min="8" style="0" width="44"/>
  </cols>
  <sheetData>
    <row r="2" customFormat="false" ht="17.35" hidden="false" customHeight="false" outlineLevel="0" collapsed="false">
      <c r="B2" s="6" t="s">
        <v>101</v>
      </c>
    </row>
    <row r="4" customFormat="false" ht="48" hidden="false" customHeight="true" outlineLevel="0" collapsed="false">
      <c r="B4" s="22" t="s">
        <v>102</v>
      </c>
      <c r="C4" s="22"/>
      <c r="D4" s="22"/>
      <c r="E4" s="22"/>
      <c r="F4" s="22"/>
      <c r="G4" s="22"/>
      <c r="H4" s="22"/>
    </row>
    <row r="6" customFormat="false" ht="15" hidden="false" customHeight="false" outlineLevel="0" collapsed="false">
      <c r="B6" s="7" t="s">
        <v>103</v>
      </c>
    </row>
    <row r="7" customFormat="false" ht="27.75" hidden="false" customHeight="true" outlineLevel="0" collapsed="false">
      <c r="B7" s="8" t="s">
        <v>104</v>
      </c>
      <c r="C7" s="8" t="s">
        <v>105</v>
      </c>
      <c r="D7" s="8" t="s">
        <v>106</v>
      </c>
      <c r="E7" s="8" t="s">
        <v>107</v>
      </c>
      <c r="F7" s="8" t="s">
        <v>108</v>
      </c>
    </row>
    <row r="8" customFormat="false" ht="15" hidden="false" customHeight="false" outlineLevel="0" collapsed="false">
      <c r="B8" s="9" t="s">
        <v>109</v>
      </c>
      <c r="C8" s="10" t="n">
        <v>20000000</v>
      </c>
      <c r="D8" s="12" t="n">
        <v>3</v>
      </c>
      <c r="E8" s="10" t="n">
        <v>38000000</v>
      </c>
      <c r="F8" s="15" t="n">
        <f aca="false">E8-C8</f>
        <v>18000000</v>
      </c>
    </row>
    <row r="9" customFormat="false" ht="15" hidden="false" customHeight="false" outlineLevel="0" collapsed="false">
      <c r="B9" s="9" t="s">
        <v>110</v>
      </c>
      <c r="C9" s="10" t="n">
        <v>20000000</v>
      </c>
      <c r="D9" s="12" t="n">
        <v>3</v>
      </c>
      <c r="E9" s="10" t="n">
        <v>38000000</v>
      </c>
      <c r="F9" s="15" t="n">
        <f aca="false">E9-C9</f>
        <v>18000000</v>
      </c>
    </row>
    <row r="10" customFormat="false" ht="15" hidden="false" customHeight="false" outlineLevel="0" collapsed="false">
      <c r="B10" s="9" t="s">
        <v>111</v>
      </c>
      <c r="C10" s="10" t="n">
        <v>20000000</v>
      </c>
      <c r="D10" s="12" t="n">
        <v>6</v>
      </c>
      <c r="E10" s="10" t="n">
        <v>20000000</v>
      </c>
      <c r="F10" s="15" t="n">
        <f aca="false">E10-C10</f>
        <v>0</v>
      </c>
    </row>
    <row r="11" customFormat="false" ht="15" hidden="false" customHeight="false" outlineLevel="0" collapsed="false">
      <c r="B11" s="9" t="s">
        <v>112</v>
      </c>
      <c r="C11" s="10" t="n">
        <v>20000000</v>
      </c>
      <c r="D11" s="12" t="n">
        <v>6</v>
      </c>
      <c r="E11" s="10" t="n">
        <v>20000000</v>
      </c>
      <c r="F11" s="15" t="n">
        <f aca="false">E11-C11</f>
        <v>0</v>
      </c>
    </row>
    <row r="12" customFormat="false" ht="15" hidden="false" customHeight="false" outlineLevel="0" collapsed="false">
      <c r="B12" s="9" t="s">
        <v>113</v>
      </c>
      <c r="C12" s="10" t="n">
        <v>20000000</v>
      </c>
      <c r="D12" s="12" t="n">
        <v>6</v>
      </c>
      <c r="E12" s="10" t="n">
        <v>20000000</v>
      </c>
      <c r="F12" s="15" t="n">
        <f aca="false">E12-C12</f>
        <v>0</v>
      </c>
    </row>
    <row r="13" customFormat="false" ht="15" hidden="false" customHeight="false" outlineLevel="0" collapsed="false">
      <c r="B13" s="16" t="s">
        <v>54</v>
      </c>
      <c r="C13" s="17" t="n">
        <f aca="false">SUM(C8:C12)</f>
        <v>100000000</v>
      </c>
      <c r="D13" s="18"/>
      <c r="E13" s="17" t="n">
        <f aca="false">SUM(E8:E12)</f>
        <v>136000000</v>
      </c>
      <c r="F13" s="17" t="n">
        <f aca="false">SUM(F8:F12)</f>
        <v>36000000</v>
      </c>
    </row>
    <row r="15" customFormat="false" ht="15" hidden="false" customHeight="false" outlineLevel="0" collapsed="false">
      <c r="B15" s="7" t="s">
        <v>114</v>
      </c>
    </row>
    <row r="16" customFormat="false" ht="27.75" hidden="false" customHeight="true" outlineLevel="0" collapsed="false">
      <c r="B16" s="8"/>
      <c r="C16" s="8" t="s">
        <v>115</v>
      </c>
      <c r="D16" s="8" t="s">
        <v>116</v>
      </c>
      <c r="E16" s="8" t="s">
        <v>117</v>
      </c>
      <c r="H16" s="8" t="s">
        <v>43</v>
      </c>
    </row>
    <row r="17" customFormat="false" ht="15" hidden="false" customHeight="false" outlineLevel="0" collapsed="false">
      <c r="B17" s="9" t="s">
        <v>118</v>
      </c>
      <c r="C17" s="15" t="n">
        <f aca="false">SUMIF($D$8:$D$12,3,$E$8:$E$12)</f>
        <v>76000000</v>
      </c>
      <c r="D17" s="15" t="n">
        <f aca="false">SUMIF($D$8:$D$12,6,$E$8:$E$12)</f>
        <v>60000000</v>
      </c>
      <c r="E17" s="15" t="n">
        <f aca="false">C17+D17</f>
        <v>136000000</v>
      </c>
      <c r="H17" s="13" t="s">
        <v>119</v>
      </c>
    </row>
    <row r="18" customFormat="false" ht="15" hidden="false" customHeight="false" outlineLevel="0" collapsed="false">
      <c r="B18" s="9" t="s">
        <v>77</v>
      </c>
      <c r="C18" s="15" t="n">
        <f aca="false">MIN($C$13,C17)</f>
        <v>76000000</v>
      </c>
      <c r="D18" s="15" t="n">
        <f aca="false">MIN($C$13-C18,D17)</f>
        <v>24000000</v>
      </c>
      <c r="E18" s="15" t="n">
        <f aca="false">C18+D18</f>
        <v>100000000</v>
      </c>
      <c r="H18" s="13" t="s">
        <v>120</v>
      </c>
    </row>
    <row r="19" customFormat="false" ht="15" hidden="false" customHeight="false" outlineLevel="0" collapsed="false">
      <c r="B19" s="9" t="s">
        <v>121</v>
      </c>
      <c r="C19" s="15" t="n">
        <f aca="false">0</f>
        <v>0</v>
      </c>
      <c r="D19" s="15" t="n">
        <f aca="false">MIN(Waterfall!$C$8*3*$C$13+Waterfall!$C$8*3*($C$13-C18),D17-D18)</f>
        <v>29760000</v>
      </c>
      <c r="E19" s="15" t="n">
        <f aca="false">C19+D19</f>
        <v>29760000</v>
      </c>
      <c r="H19" s="13" t="s">
        <v>122</v>
      </c>
    </row>
    <row r="20" customFormat="false" ht="15" hidden="false" customHeight="false" outlineLevel="0" collapsed="false">
      <c r="B20" s="9" t="s">
        <v>123</v>
      </c>
      <c r="C20" s="15" t="n">
        <f aca="false">C17-C18-C19</f>
        <v>0</v>
      </c>
      <c r="D20" s="15" t="n">
        <f aca="false">D17-D18-D19</f>
        <v>6240000</v>
      </c>
      <c r="E20" s="15" t="n">
        <f aca="false">C20+D20</f>
        <v>6240000</v>
      </c>
    </row>
    <row r="21" customFormat="false" ht="15" hidden="false" customHeight="false" outlineLevel="0" collapsed="false">
      <c r="B21" s="9" t="s">
        <v>124</v>
      </c>
      <c r="C21" s="15" t="n">
        <f aca="false">MIN(Waterfall!$C$10*$F$13,C20)</f>
        <v>0</v>
      </c>
      <c r="D21" s="15" t="n">
        <f aca="false">MIN(Waterfall!$C$10*$F$13-C21,D20)</f>
        <v>6240000</v>
      </c>
      <c r="E21" s="15" t="n">
        <f aca="false">C21+D21</f>
        <v>6240000</v>
      </c>
      <c r="H21" s="13" t="s">
        <v>125</v>
      </c>
    </row>
    <row r="22" customFormat="false" ht="15" hidden="false" customHeight="false" outlineLevel="0" collapsed="false">
      <c r="B22" s="16" t="s">
        <v>88</v>
      </c>
      <c r="E22" s="17" t="n">
        <f aca="false">E17-E21</f>
        <v>129760000</v>
      </c>
    </row>
    <row r="23" customFormat="false" ht="15" hidden="false" customHeight="false" outlineLevel="0" collapsed="false">
      <c r="B23" s="16" t="s">
        <v>89</v>
      </c>
      <c r="E23" s="17" t="n">
        <f aca="false">E21</f>
        <v>6240000</v>
      </c>
    </row>
    <row r="25" customFormat="false" ht="15" hidden="false" customHeight="false" outlineLevel="0" collapsed="false">
      <c r="B25" s="7" t="s">
        <v>126</v>
      </c>
    </row>
    <row r="26" customFormat="false" ht="27.75" hidden="false" customHeight="true" outlineLevel="0" collapsed="false">
      <c r="B26" s="8" t="s">
        <v>104</v>
      </c>
      <c r="C26" s="8" t="s">
        <v>127</v>
      </c>
      <c r="D26" s="8" t="s">
        <v>128</v>
      </c>
      <c r="E26" s="8" t="s">
        <v>129</v>
      </c>
      <c r="F26" s="8" t="s">
        <v>130</v>
      </c>
      <c r="G26" s="8" t="s">
        <v>124</v>
      </c>
      <c r="H26" s="8" t="s">
        <v>43</v>
      </c>
    </row>
    <row r="27" customFormat="false" ht="15" hidden="false" customHeight="false" outlineLevel="0" collapsed="false">
      <c r="B27" s="9" t="str">
        <f aca="false">B8</f>
        <v>Asset 1 — outperformer</v>
      </c>
      <c r="C27" s="15" t="n">
        <f aca="false">MIN(C8,E8)</f>
        <v>20000000</v>
      </c>
      <c r="D27" s="15" t="n">
        <f aca="false">MIN(Waterfall!$C$8*D8*C8,E8-C27)</f>
        <v>4800000</v>
      </c>
      <c r="E27" s="15" t="n">
        <f aca="false">MIN(Waterfall!$C$10*F8,E8-C27-D27)</f>
        <v>3600000</v>
      </c>
      <c r="F27" s="15" t="n">
        <f aca="false">Waterfall!$C$10*(E8-C27-D27-E27)</f>
        <v>1920000</v>
      </c>
      <c r="G27" s="15" t="n">
        <f aca="false">E27+F27</f>
        <v>5520000</v>
      </c>
      <c r="H27" s="13" t="s">
        <v>131</v>
      </c>
    </row>
    <row r="28" customFormat="false" ht="15" hidden="false" customHeight="false" outlineLevel="0" collapsed="false">
      <c r="B28" s="9" t="str">
        <f aca="false">B9</f>
        <v>Asset 2 — outperformer</v>
      </c>
      <c r="C28" s="15" t="n">
        <f aca="false">MIN(C9,E9)</f>
        <v>20000000</v>
      </c>
      <c r="D28" s="15" t="n">
        <f aca="false">MIN(Waterfall!$C$8*D9*C9,E9-C28)</f>
        <v>4800000</v>
      </c>
      <c r="E28" s="15" t="n">
        <f aca="false">MIN(Waterfall!$C$10*F9,E9-C28-D28)</f>
        <v>3600000</v>
      </c>
      <c r="F28" s="15" t="n">
        <f aca="false">Waterfall!$C$10*(E9-C28-D28-E28)</f>
        <v>1920000</v>
      </c>
      <c r="G28" s="15" t="n">
        <f aca="false">E28+F28</f>
        <v>5520000</v>
      </c>
      <c r="H28" s="13" t="s">
        <v>131</v>
      </c>
    </row>
    <row r="29" customFormat="false" ht="15" hidden="false" customHeight="false" outlineLevel="0" collapsed="false">
      <c r="B29" s="9" t="str">
        <f aca="false">B10</f>
        <v>Asset 3 — leasing problems</v>
      </c>
      <c r="C29" s="15" t="n">
        <f aca="false">MIN(C10,E10)</f>
        <v>20000000</v>
      </c>
      <c r="D29" s="15" t="n">
        <f aca="false">MIN(Waterfall!$C$8*D10*C10,E10-C29)</f>
        <v>0</v>
      </c>
      <c r="E29" s="15" t="n">
        <f aca="false">MIN(Waterfall!$C$10*F10,E10-C29-D29)</f>
        <v>0</v>
      </c>
      <c r="F29" s="15" t="n">
        <f aca="false">Waterfall!$C$10*(E10-C29-D29-E29)</f>
        <v>0</v>
      </c>
      <c r="G29" s="15" t="n">
        <f aca="false">E29+F29</f>
        <v>0</v>
      </c>
      <c r="H29" s="13" t="s">
        <v>132</v>
      </c>
    </row>
    <row r="30" customFormat="false" ht="15" hidden="false" customHeight="false" outlineLevel="0" collapsed="false">
      <c r="B30" s="9" t="str">
        <f aca="false">B11</f>
        <v>Asset 4 — leasing problems</v>
      </c>
      <c r="C30" s="15" t="n">
        <f aca="false">MIN(C11,E11)</f>
        <v>20000000</v>
      </c>
      <c r="D30" s="15" t="n">
        <f aca="false">MIN(Waterfall!$C$8*D11*C11,E11-C30)</f>
        <v>0</v>
      </c>
      <c r="E30" s="15" t="n">
        <f aca="false">MIN(Waterfall!$C$10*F11,E11-C30-D30)</f>
        <v>0</v>
      </c>
      <c r="F30" s="15" t="n">
        <f aca="false">Waterfall!$C$10*(E11-C30-D30-E30)</f>
        <v>0</v>
      </c>
      <c r="G30" s="15" t="n">
        <f aca="false">E30+F30</f>
        <v>0</v>
      </c>
      <c r="H30" s="13" t="s">
        <v>132</v>
      </c>
    </row>
    <row r="31" customFormat="false" ht="15" hidden="false" customHeight="false" outlineLevel="0" collapsed="false">
      <c r="B31" s="9" t="str">
        <f aca="false">B12</f>
        <v>Asset 5 — leasing problems</v>
      </c>
      <c r="C31" s="15" t="n">
        <f aca="false">MIN(C12,E12)</f>
        <v>20000000</v>
      </c>
      <c r="D31" s="15" t="n">
        <f aca="false">MIN(Waterfall!$C$8*D12*C12,E12-C31)</f>
        <v>0</v>
      </c>
      <c r="E31" s="15" t="n">
        <f aca="false">MIN(Waterfall!$C$10*F12,E12-C31-D31)</f>
        <v>0</v>
      </c>
      <c r="F31" s="15" t="n">
        <f aca="false">Waterfall!$C$10*(E12-C31-D31-E31)</f>
        <v>0</v>
      </c>
      <c r="G31" s="15" t="n">
        <f aca="false">E31+F31</f>
        <v>0</v>
      </c>
      <c r="H31" s="13" t="s">
        <v>132</v>
      </c>
    </row>
    <row r="32" customFormat="false" ht="15" hidden="false" customHeight="false" outlineLevel="0" collapsed="false">
      <c r="B32" s="16" t="s">
        <v>54</v>
      </c>
      <c r="C32" s="17" t="n">
        <f aca="false">SUM(C27:C31)</f>
        <v>100000000</v>
      </c>
      <c r="D32" s="17" t="n">
        <f aca="false">SUM(D27:D31)</f>
        <v>9600000</v>
      </c>
      <c r="E32" s="17" t="n">
        <f aca="false">SUM(E27:E31)</f>
        <v>7200000</v>
      </c>
      <c r="F32" s="17" t="n">
        <f aca="false">SUM(F27:F31)</f>
        <v>3840000</v>
      </c>
      <c r="G32" s="17" t="n">
        <f aca="false">SUM(G27:G31)</f>
        <v>11040000</v>
      </c>
      <c r="H32" s="18"/>
    </row>
    <row r="34" customFormat="false" ht="15" hidden="false" customHeight="false" outlineLevel="0" collapsed="false">
      <c r="B34" s="7" t="s">
        <v>133</v>
      </c>
    </row>
    <row r="35" customFormat="false" ht="27.75" hidden="false" customHeight="true" outlineLevel="0" collapsed="false">
      <c r="B35" s="8"/>
      <c r="C35" s="8" t="s">
        <v>134</v>
      </c>
      <c r="H35" s="8" t="s">
        <v>43</v>
      </c>
    </row>
    <row r="36" customFormat="false" ht="15" hidden="false" customHeight="false" outlineLevel="0" collapsed="false">
      <c r="B36" s="9" t="s">
        <v>135</v>
      </c>
      <c r="C36" s="15" t="n">
        <f aca="false">$E$23</f>
        <v>6240000</v>
      </c>
      <c r="H36" s="5" t="s">
        <v>136</v>
      </c>
    </row>
    <row r="37" customFormat="false" ht="15" hidden="false" customHeight="false" outlineLevel="0" collapsed="false">
      <c r="B37" s="9" t="s">
        <v>137</v>
      </c>
      <c r="C37" s="15" t="n">
        <f aca="false">$G$32</f>
        <v>11040000</v>
      </c>
      <c r="H37" s="5" t="s">
        <v>138</v>
      </c>
    </row>
    <row r="38" customFormat="false" ht="22.35" hidden="false" customHeight="false" outlineLevel="0" collapsed="false">
      <c r="B38" s="16" t="s">
        <v>139</v>
      </c>
      <c r="C38" s="17" t="n">
        <f aca="false">$G$32-$E$23</f>
        <v>4800000</v>
      </c>
      <c r="H38" s="5" t="s">
        <v>140</v>
      </c>
    </row>
    <row r="39" customFormat="false" ht="15" hidden="false" customHeight="false" outlineLevel="0" collapsed="false">
      <c r="B39" s="9" t="s">
        <v>141</v>
      </c>
      <c r="C39" s="15" t="n">
        <f aca="false">$E$22</f>
        <v>129760000</v>
      </c>
      <c r="H39" s="5"/>
    </row>
    <row r="40" customFormat="false" ht="15" hidden="false" customHeight="false" outlineLevel="0" collapsed="false">
      <c r="B40" s="9" t="s">
        <v>142</v>
      </c>
      <c r="C40" s="15" t="n">
        <f aca="false">$E$13-$G$32</f>
        <v>124960000</v>
      </c>
      <c r="H40" s="5"/>
    </row>
    <row r="41" customFormat="false" ht="22.35" hidden="false" customHeight="false" outlineLevel="0" collapsed="false">
      <c r="B41" s="16" t="s">
        <v>143</v>
      </c>
      <c r="C41" s="17" t="n">
        <f aca="false">$E$22-($E$13-$G$32)</f>
        <v>4800000</v>
      </c>
      <c r="H41" s="5" t="s">
        <v>144</v>
      </c>
    </row>
    <row r="42" customFormat="false" ht="15" hidden="false" customHeight="false" outlineLevel="0" collapsed="false">
      <c r="B42" s="9" t="s">
        <v>145</v>
      </c>
      <c r="C42" s="20" t="n">
        <f aca="false">IFERROR($E$13/$C$13,0)</f>
        <v>1.36</v>
      </c>
      <c r="H42" s="5" t="s">
        <v>146</v>
      </c>
    </row>
    <row r="44" customFormat="false" ht="31.5" hidden="false" customHeight="true" outlineLevel="0" collapsed="false">
      <c r="B44" s="22" t="s">
        <v>147</v>
      </c>
      <c r="C44" s="22"/>
      <c r="D44" s="22"/>
      <c r="E44" s="22"/>
      <c r="F44" s="22"/>
      <c r="G44" s="22"/>
      <c r="H44" s="22"/>
    </row>
  </sheetData>
  <mergeCells count="2">
    <mergeCell ref="B4:H4"/>
    <mergeCell ref="B44:H4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4"/>
    <col collapsed="false" customWidth="true" hidden="false" outlineLevel="0" max="4" min="3" style="0" width="19"/>
    <col collapsed="false" customWidth="true" hidden="false" outlineLevel="0" max="5" min="5" style="0" width="11"/>
    <col collapsed="false" customWidth="true" hidden="false" outlineLevel="0" max="6" min="6" style="0" width="40"/>
  </cols>
  <sheetData>
    <row r="2" customFormat="false" ht="17.35" hidden="false" customHeight="false" outlineLevel="0" collapsed="false">
      <c r="B2" s="6" t="s">
        <v>148</v>
      </c>
    </row>
    <row r="4" customFormat="false" ht="15" hidden="false" customHeight="false" outlineLevel="0" collapsed="false">
      <c r="B4" s="9" t="s">
        <v>149</v>
      </c>
    </row>
    <row r="6" customFormat="false" ht="27.75" hidden="false" customHeight="true" outlineLevel="0" collapsed="false">
      <c r="B6" s="8" t="s">
        <v>150</v>
      </c>
      <c r="C6" s="8" t="s">
        <v>151</v>
      </c>
      <c r="D6" s="8" t="s">
        <v>152</v>
      </c>
      <c r="E6" s="8" t="s">
        <v>153</v>
      </c>
      <c r="F6" s="8" t="s">
        <v>154</v>
      </c>
    </row>
    <row r="7" customFormat="false" ht="15" hidden="false" customHeight="false" outlineLevel="0" collapsed="false">
      <c r="B7" s="9" t="s">
        <v>44</v>
      </c>
      <c r="C7" s="15" t="n">
        <v>170000000</v>
      </c>
      <c r="D7" s="15" t="n">
        <f aca="false">Waterfall!$E$17</f>
        <v>170000000</v>
      </c>
      <c r="E7" s="23" t="str">
        <f aca="false">IF(ABS(D7-C7)&lt;1,"OK","ECART")</f>
        <v>OK</v>
      </c>
      <c r="F7" s="13" t="s">
        <v>45</v>
      </c>
    </row>
    <row r="8" customFormat="false" ht="15" hidden="false" customHeight="false" outlineLevel="0" collapsed="false">
      <c r="B8" s="9" t="s">
        <v>127</v>
      </c>
      <c r="C8" s="15" t="n">
        <v>100000000</v>
      </c>
      <c r="D8" s="15" t="n">
        <f aca="false">Waterfall!$C$18</f>
        <v>100000000</v>
      </c>
      <c r="E8" s="23" t="str">
        <f aca="false">IF(ABS(D8-C8)&lt;1,"OK","ECART")</f>
        <v>OK</v>
      </c>
      <c r="F8" s="13" t="s">
        <v>45</v>
      </c>
    </row>
    <row r="9" customFormat="false" ht="15" hidden="false" customHeight="false" outlineLevel="0" collapsed="false">
      <c r="B9" s="9" t="s">
        <v>155</v>
      </c>
      <c r="C9" s="15" t="n">
        <v>70000000</v>
      </c>
      <c r="D9" s="15" t="n">
        <f aca="false">Waterfall!$E$18</f>
        <v>70000000</v>
      </c>
      <c r="E9" s="23" t="str">
        <f aca="false">IF(ABS(D9-C9)&lt;1,"OK","ECART")</f>
        <v>OK</v>
      </c>
      <c r="F9" s="13" t="s">
        <v>45</v>
      </c>
    </row>
    <row r="10" customFormat="false" ht="15" hidden="false" customHeight="false" outlineLevel="0" collapsed="false">
      <c r="B10" s="9" t="s">
        <v>156</v>
      </c>
      <c r="C10" s="15" t="n">
        <v>40000000</v>
      </c>
      <c r="D10" s="15" t="n">
        <f aca="false">Waterfall!$C$19</f>
        <v>40000000</v>
      </c>
      <c r="E10" s="23" t="str">
        <f aca="false">IF(ABS(D10-C10)&lt;1,"OK","ECART")</f>
        <v>OK</v>
      </c>
      <c r="F10" s="13" t="s">
        <v>157</v>
      </c>
    </row>
    <row r="11" customFormat="false" ht="15" hidden="false" customHeight="false" outlineLevel="0" collapsed="false">
      <c r="B11" s="9" t="s">
        <v>158</v>
      </c>
      <c r="C11" s="15" t="n">
        <v>30000000</v>
      </c>
      <c r="D11" s="15" t="n">
        <f aca="false">Waterfall!$E$19</f>
        <v>30000000</v>
      </c>
      <c r="E11" s="23" t="str">
        <f aca="false">IF(ABS(D11-C11)&lt;1,"OK","ECART")</f>
        <v>OK</v>
      </c>
      <c r="F11" s="13" t="s">
        <v>157</v>
      </c>
    </row>
    <row r="12" customFormat="false" ht="15" hidden="false" customHeight="false" outlineLevel="0" collapsed="false">
      <c r="B12" s="9" t="s">
        <v>159</v>
      </c>
      <c r="C12" s="15" t="n">
        <v>140000000</v>
      </c>
      <c r="D12" s="15" t="n">
        <f aca="false">Waterfall!$C$18+Waterfall!$C$19</f>
        <v>140000000</v>
      </c>
      <c r="E12" s="23" t="str">
        <f aca="false">IF(ABS(D12-C12)&lt;1,"OK","ECART")</f>
        <v>OK</v>
      </c>
      <c r="F12" s="13" t="s">
        <v>157</v>
      </c>
    </row>
    <row r="13" customFormat="false" ht="15" hidden="false" customHeight="false" outlineLevel="0" collapsed="false">
      <c r="B13" s="9" t="s">
        <v>160</v>
      </c>
      <c r="C13" s="15" t="n">
        <v>70000000</v>
      </c>
      <c r="D13" s="15" t="n">
        <f aca="false">Waterfall!$C$7-Waterfall!$C$6</f>
        <v>70000000</v>
      </c>
      <c r="E13" s="23" t="str">
        <f aca="false">IF(ABS(D13-C13)&lt;1,"OK","ECART")</f>
        <v>OK</v>
      </c>
      <c r="F13" s="13" t="s">
        <v>161</v>
      </c>
    </row>
    <row r="14" customFormat="false" ht="15" hidden="false" customHeight="false" outlineLevel="0" collapsed="false">
      <c r="B14" s="9" t="s">
        <v>162</v>
      </c>
      <c r="C14" s="15" t="n">
        <v>14000000</v>
      </c>
      <c r="D14" s="15" t="n">
        <f aca="false">Waterfall!$D$20</f>
        <v>14000000</v>
      </c>
      <c r="E14" s="23" t="str">
        <f aca="false">IF(ABS(D14-C14)&lt;1,"OK","ECART")</f>
        <v>OK</v>
      </c>
      <c r="F14" s="13" t="s">
        <v>161</v>
      </c>
    </row>
    <row r="15" customFormat="false" ht="15" hidden="false" customHeight="false" outlineLevel="0" collapsed="false">
      <c r="B15" s="9" t="s">
        <v>163</v>
      </c>
      <c r="C15" s="15" t="n">
        <v>16000000</v>
      </c>
      <c r="D15" s="15" t="n">
        <f aca="false">Waterfall!$E$20</f>
        <v>16000000</v>
      </c>
      <c r="E15" s="23" t="str">
        <f aca="false">IF(ABS(D15-C15)&lt;1,"OK","ECART")</f>
        <v>OK</v>
      </c>
      <c r="F15" s="13" t="s">
        <v>161</v>
      </c>
    </row>
    <row r="16" customFormat="false" ht="15" hidden="false" customHeight="false" outlineLevel="0" collapsed="false">
      <c r="B16" s="9" t="s">
        <v>164</v>
      </c>
      <c r="C16" s="15" t="n">
        <v>12800000</v>
      </c>
      <c r="D16" s="15" t="n">
        <f aca="false">Waterfall!$C$21</f>
        <v>12800000</v>
      </c>
      <c r="E16" s="23" t="str">
        <f aca="false">IF(ABS(D16-C16)&lt;1,"OK","ECART")</f>
        <v>OK</v>
      </c>
      <c r="F16" s="13" t="s">
        <v>165</v>
      </c>
    </row>
    <row r="17" customFormat="false" ht="15" hidden="false" customHeight="false" outlineLevel="0" collapsed="false">
      <c r="B17" s="9" t="s">
        <v>166</v>
      </c>
      <c r="C17" s="15" t="n">
        <v>3200000</v>
      </c>
      <c r="D17" s="15" t="n">
        <f aca="false">Waterfall!$D$21</f>
        <v>3200000</v>
      </c>
      <c r="E17" s="23" t="str">
        <f aca="false">IF(ABS(D17-C17)&lt;1,"OK","ECART")</f>
        <v>OK</v>
      </c>
      <c r="F17" s="13" t="s">
        <v>165</v>
      </c>
    </row>
    <row r="18" customFormat="false" ht="15" hidden="false" customHeight="false" outlineLevel="0" collapsed="false">
      <c r="B18" s="9" t="s">
        <v>59</v>
      </c>
      <c r="C18" s="15" t="n">
        <v>152800000</v>
      </c>
      <c r="D18" s="15" t="n">
        <f aca="false">Waterfall!$C$22</f>
        <v>152800000</v>
      </c>
      <c r="E18" s="23" t="str">
        <f aca="false">IF(ABS(D18-C18)&lt;1,"OK","ECART")</f>
        <v>OK</v>
      </c>
      <c r="F18" s="13" t="s">
        <v>167</v>
      </c>
    </row>
    <row r="19" customFormat="false" ht="15" hidden="false" customHeight="false" outlineLevel="0" collapsed="false">
      <c r="B19" s="9" t="s">
        <v>61</v>
      </c>
      <c r="C19" s="15" t="n">
        <v>17200000</v>
      </c>
      <c r="D19" s="15" t="n">
        <f aca="false">Waterfall!$D$22</f>
        <v>17200000</v>
      </c>
      <c r="E19" s="23" t="str">
        <f aca="false">IF(ABS(D19-C19)&lt;1,"OK","ECART")</f>
        <v>OK</v>
      </c>
      <c r="F19" s="13" t="s">
        <v>167</v>
      </c>
    </row>
    <row r="20" customFormat="false" ht="15" hidden="false" customHeight="false" outlineLevel="0" collapsed="false">
      <c r="B20" s="9" t="s">
        <v>168</v>
      </c>
      <c r="C20" s="15" t="n">
        <v>170000000</v>
      </c>
      <c r="D20" s="15" t="n">
        <f aca="false">Waterfall!$C$22+Waterfall!$D$22</f>
        <v>170000000</v>
      </c>
      <c r="E20" s="23" t="str">
        <f aca="false">IF(ABS(D20-C20)&lt;1,"OK","ECART")</f>
        <v>OK</v>
      </c>
      <c r="F20" s="13" t="s">
        <v>167</v>
      </c>
    </row>
    <row r="21" customFormat="false" ht="15" hidden="false" customHeight="false" outlineLevel="0" collapsed="false">
      <c r="B21" s="9" t="s">
        <v>169</v>
      </c>
      <c r="C21" s="24" t="n">
        <v>0.2457</v>
      </c>
      <c r="D21" s="24" t="n">
        <f aca="false">IFERROR(Waterfall!$D$22/(Waterfall!$C$7-Waterfall!$C$6),0)</f>
        <v>0.245714285714286</v>
      </c>
      <c r="E21" s="23" t="str">
        <f aca="false">IF(ABS(D21-C21)&lt;0.0005,"OK","ECART")</f>
        <v>OK</v>
      </c>
      <c r="F21" s="13" t="s">
        <v>170</v>
      </c>
    </row>
    <row r="23" customFormat="false" ht="15" hidden="false" customHeight="false" outlineLevel="0" collapsed="false">
      <c r="B23" s="14" t="s">
        <v>171</v>
      </c>
      <c r="D23" s="25" t="str">
        <f aca="false">IF(COUNTIF(E7:E21,"OK")=15,"TOUT CONCORDE","VERIFIER")</f>
        <v>TOUT CONCORDE</v>
      </c>
    </row>
    <row r="25" customFormat="false" ht="15" hidden="false" customHeight="false" outlineLevel="0" collapsed="false">
      <c r="B25" s="7" t="s">
        <v>172</v>
      </c>
    </row>
    <row r="26" customFormat="false" ht="27.75" hidden="false" customHeight="true" outlineLevel="0" collapsed="false">
      <c r="B26" s="8" t="s">
        <v>173</v>
      </c>
      <c r="C26" s="8" t="s">
        <v>174</v>
      </c>
      <c r="D26" s="8" t="s">
        <v>175</v>
      </c>
      <c r="E26" s="8" t="s">
        <v>153</v>
      </c>
      <c r="F26" s="8" t="s">
        <v>43</v>
      </c>
    </row>
    <row r="27" customFormat="false" ht="15" hidden="false" customHeight="false" outlineLevel="0" collapsed="false">
      <c r="B27" s="9" t="s">
        <v>176</v>
      </c>
      <c r="C27" s="15" t="n">
        <f aca="false">Waterfall!$D$22</f>
        <v>17200000</v>
      </c>
      <c r="D27" s="15" t="n">
        <f aca="false">'Catch-Up Definitions'!$C$17</f>
        <v>17200000</v>
      </c>
      <c r="E27" s="23" t="str">
        <f aca="false">IF(ABS(D27-C27)&lt;1,"OK","ECART")</f>
        <v>OK</v>
      </c>
      <c r="F27" s="13" t="s">
        <v>177</v>
      </c>
    </row>
    <row r="28" customFormat="false" ht="15" hidden="false" customHeight="false" outlineLevel="0" collapsed="false">
      <c r="B28" s="9" t="s">
        <v>178</v>
      </c>
      <c r="C28" s="15" t="n">
        <f aca="false">0.2*(Waterfall!$C$7-Waterfall!$C$6)</f>
        <v>14000000</v>
      </c>
      <c r="D28" s="15" t="n">
        <f aca="false">'Catch-Up Definitions'!$D$17</f>
        <v>14000000</v>
      </c>
      <c r="E28" s="23" t="str">
        <f aca="false">IF(ABS(D28-C28)&lt;1,"OK","ECART")</f>
        <v>OK</v>
      </c>
      <c r="F28" s="13" t="s">
        <v>179</v>
      </c>
    </row>
    <row r="29" customFormat="false" ht="15" hidden="false" customHeight="false" outlineLevel="0" collapsed="false">
      <c r="B29" s="9" t="s">
        <v>180</v>
      </c>
      <c r="C29" s="15" t="n">
        <f aca="false">Waterfall!$C$7*3</f>
        <v>510000000</v>
      </c>
      <c r="D29" s="15" t="n">
        <f aca="false">'Catch-Up Definitions'!$C$17+'Catch-Up Definitions'!$D$17+'Catch-Up Definitions'!$E$17+'Catch-Up Definitions'!$C$16+'Catch-Up Definitions'!$D$16+'Catch-Up Definitions'!$E$16</f>
        <v>510000000</v>
      </c>
      <c r="E29" s="23" t="str">
        <f aca="false">IF(ABS(D29-C29)&lt;1,"OK","ECART")</f>
        <v>OK</v>
      </c>
      <c r="F29" s="13" t="s">
        <v>181</v>
      </c>
    </row>
    <row r="30" customFormat="false" ht="15" hidden="false" customHeight="false" outlineLevel="0" collapsed="false">
      <c r="B30" s="9" t="s">
        <v>182</v>
      </c>
      <c r="C30" s="15" t="n">
        <f aca="false">'Sequencing Risk'!$E$13</f>
        <v>136000000</v>
      </c>
      <c r="D30" s="15" t="n">
        <f aca="false">'Sequencing Risk'!$E$22+'Sequencing Risk'!$E$23</f>
        <v>136000000</v>
      </c>
      <c r="E30" s="23" t="str">
        <f aca="false">IF(ABS(D30-C30)&lt;1,"OK","ECART")</f>
        <v>OK</v>
      </c>
      <c r="F30" s="13" t="s">
        <v>183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2026-08-12T19:05:37Z</dcterms:created>
  <dc:creator>openpyxl</dc:creator>
  <dc:description/>
  <dc:language>en-US</dc:language>
  <cp:lastModifiedBy/>
  <dcterms:modified xsi:type="dcterms:W3CDTF">2026-08-12T19:05:37Z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