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Loan Sizing" sheetId="2" state="visible" r:id="rId4"/>
    <sheet name="Rate Shock" sheetId="3" state="visible" r:id="rId5"/>
    <sheet name="Maturity Ladder" sheetId="4" state="visible" r:id="rId6"/>
    <sheet name="Stressed Refi" sheetId="5" state="visible" r:id="rId7"/>
    <sheet name="Debt Checklist" sheetId="6" state="visible" r:id="rId8"/>
    <sheet name="Checks"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<sst xmlns="http://schemas.openxmlformats.org/spreadsheetml/2006/main" count="380" uniqueCount="286">
  <si>
    <t xml:space="preserve">Real Estate Fund Management — Debt Sizing, Covenants and Refinancing</t>
  </si>
  <si>
    <t xml:space="preserve">Companion workbook to Chapter 10 (Debt Strategy and Capital Markets) of "Real Estate Fund Management" by Julian R. Sterling. Free, ungated, and yours to reuse.</t>
  </si>
  <si>
    <t xml:space="preserve">The one idea that runs through it</t>
  </si>
  <si>
    <t xml:space="preserve">Section 10.3 defines four metrics — LTV, LTC, DSCR and debt yield — and 10.10 tells you what to do with them: "in downside cases, use the most binding constraint, not the one that produces the proceeds you want." Every sizing calculation here is a minimum across the four tests, and the workbook names which one bound. That single discipline is the difference between a loan you can close and a loan you assumed.</t>
  </si>
  <si>
    <t xml:space="preserve">Sheets</t>
  </si>
  <si>
    <t xml:space="preserve">Loan Sizing</t>
  </si>
  <si>
    <t xml:space="preserve">      Proceeds under all four constraints at once, with the binding test identified. Includes the credit-box comparison across lender types that 10.10 Step 2 asks you to build and update monthly.</t>
  </si>
  <si>
    <t xml:space="preserve">Rate Shock</t>
  </si>
  <si>
    <t xml:space="preserve">      DSCR and debt yield under a rate path, with the cost of a rate cap treated as an economic input rather than a footnote — 10.10 is explicit that "a rate cap is not a footnote".</t>
  </si>
  <si>
    <t xml:space="preserve">Maturity Ladder</t>
  </si>
  <si>
    <t xml:space="preserve">      Maturities by year, clustering against a policy limit, floating exposure, hedge coverage and lender concentration. This is the debt dashboard described in 10.8, with the triage categories from 10.10 Step 1 attached to each loan.</t>
  </si>
  <si>
    <t xml:space="preserve">Stressed Refi</t>
  </si>
  <si>
    <t xml:space="preserve">      The proceeds-gap case in 10.10, live: a $60M bridge at 75% LTV, proceeds falling to $48M, a $12M gap, and the $6M paydown plus $6M preferred equity that closed it. The solver at the bottom answers the question the case leaves open — how much paydown, how much pref, and what each costs.</t>
  </si>
  <si>
    <t xml:space="preserve">Debt Checklist</t>
  </si>
  <si>
    <t xml:space="preserve">      The fund-level, deal-level and portfolio-level checklist from 10.14.</t>
  </si>
  <si>
    <t xml:space="preserve">Checks</t>
  </si>
  <si>
    <t xml:space="preserve">      Every figure the chapter prints, against what this workbook computes.</t>
  </si>
  <si>
    <t xml:space="preserve">Blue on yellow is an input. Black is a formula. Green is a link to another sheet.</t>
  </si>
  <si>
    <t xml:space="preserve">Source: Real Estate Fund Management, Chapter 10. All figures in US dollars.</t>
  </si>
  <si>
    <t xml:space="preserve">Loan sizing — four tests, one answer</t>
  </si>
  <si>
    <t xml:space="preserve">A lender does not size to LTV or to DSCR. It sizes to whichever of the four is tightest, and that changes with the market. Enter the asset and the credit box; the sheet returns the proceeds and names the binding test.</t>
  </si>
  <si>
    <t xml:space="preserve">Asset</t>
  </si>
  <si>
    <t xml:space="preserve">Input</t>
  </si>
  <si>
    <t xml:space="preserve">Value</t>
  </si>
  <si>
    <t xml:space="preserve">Note</t>
  </si>
  <si>
    <t xml:space="preserve">Stabilised NOI</t>
  </si>
  <si>
    <t xml:space="preserve">Appraised value</t>
  </si>
  <si>
    <t xml:space="preserve">Appraisals lag. 10.3: in downturns this becomes the binding constraint.</t>
  </si>
  <si>
    <t xml:space="preserve">Total project cost</t>
  </si>
  <si>
    <t xml:space="preserve">Purchase plus capex plus soft costs.</t>
  </si>
  <si>
    <t xml:space="preserve">Interest rate</t>
  </si>
  <si>
    <t xml:space="preserve">Amortisation (years, 0 = interest only)</t>
  </si>
  <si>
    <t xml:space="preserve">Set to 0 for an interest-only loan.</t>
  </si>
  <si>
    <t xml:space="preserve">Credit box</t>
  </si>
  <si>
    <t xml:space="preserve">Test</t>
  </si>
  <si>
    <t xml:space="preserve">Limit</t>
  </si>
  <si>
    <t xml:space="preserve">Maximum LTV</t>
  </si>
  <si>
    <t xml:space="preserve">Maximum LTC</t>
  </si>
  <si>
    <t xml:space="preserve">10.3: the more stable discipline when terminal value is uncertain.</t>
  </si>
  <si>
    <t xml:space="preserve">Minimum DSCR</t>
  </si>
  <si>
    <t xml:space="preserve">Minimum debt yield</t>
  </si>
  <si>
    <t xml:space="preserve">10.3: favoured in volatile rate environments because it ignores the rate.</t>
  </si>
  <si>
    <t xml:space="preserve">Proceeds under each test</t>
  </si>
  <si>
    <t xml:space="preserve">Maximum proceeds</t>
  </si>
  <si>
    <t xml:space="preserve">Binding?</t>
  </si>
  <si>
    <t xml:space="preserve">How it is calculated</t>
  </si>
  <si>
    <t xml:space="preserve">Loan to value</t>
  </si>
  <si>
    <t xml:space="preserve">Appraised value x maximum LTV.</t>
  </si>
  <si>
    <t xml:space="preserve">Loan to cost</t>
  </si>
  <si>
    <t xml:space="preserve">Total cost x maximum LTC.</t>
  </si>
  <si>
    <t xml:space="preserve">Debt service coverage</t>
  </si>
  <si>
    <t xml:space="preserve">NOI divided by the minimum DSCR gives the affordable debt service; that is then capitalised at the loan constant.</t>
  </si>
  <si>
    <t xml:space="preserve">Debt yield</t>
  </si>
  <si>
    <t xml:space="preserve">NOI divided by the minimum debt yield.</t>
  </si>
  <si>
    <t xml:space="preserve">Proceeds</t>
  </si>
  <si>
    <t xml:space="preserve">Binding test</t>
  </si>
  <si>
    <t xml:space="preserve">Headroom to the next tightest test</t>
  </si>
  <si>
    <t xml:space="preserve">How far the market has to move before a different test starts driving proceeds.</t>
  </si>
  <si>
    <t xml:space="preserve">Resulting metrics</t>
  </si>
  <si>
    <t xml:space="preserve">Equity required</t>
  </si>
  <si>
    <t xml:space="preserve">Annual debt service</t>
  </si>
  <si>
    <t xml:space="preserve">Actual LTV</t>
  </si>
  <si>
    <t xml:space="preserve">Actual LTC</t>
  </si>
  <si>
    <t xml:space="preserve">Actual DSCR</t>
  </si>
  <si>
    <t xml:space="preserve">Actual debt yield</t>
  </si>
  <si>
    <t xml:space="preserve">The credit box by lender type — 10.10 Step 2</t>
  </si>
  <si>
    <t xml:space="preserve">"Build a credit box model per lender type and update it monthly." Same asset, four lenders, four answers. The spread between the widest and the tightest is the real cost of a risk-off market.</t>
  </si>
  <si>
    <t xml:space="preserve">Lender type</t>
  </si>
  <si>
    <t xml:space="preserve">Max LTV</t>
  </si>
  <si>
    <t xml:space="preserve">Min DSCR</t>
  </si>
  <si>
    <t xml:space="preserve">Min debt yield</t>
  </si>
  <si>
    <t xml:space="preserve">Rate</t>
  </si>
  <si>
    <t xml:space="preserve">Bank — relationship</t>
  </si>
  <si>
    <t xml:space="preserve">Life company</t>
  </si>
  <si>
    <t xml:space="preserve">Debt fund — bridge</t>
  </si>
  <si>
    <t xml:space="preserve">Agency / CMBS</t>
  </si>
  <si>
    <t xml:space="preserve">Widest</t>
  </si>
  <si>
    <t xml:space="preserve">Tightest</t>
  </si>
  <si>
    <t xml:space="preserve">Spread across the market</t>
  </si>
  <si>
    <t xml:space="preserve">Underwrite to the tightest if the business plan cannot survive a change of lender.</t>
  </si>
  <si>
    <t xml:space="preserve">Rate shock — what a floating loan does to the covenant</t>
  </si>
  <si>
    <t xml:space="preserve">Section 10.3: "for floating-rate loans, a DSCR that looks acceptable at close can quickly deteriorate, triggering cash sweeps or default risk." Section 10.10 adds that the cost of a rate cap is an economic input, not a footnote. Both are below.</t>
  </si>
  <si>
    <t xml:space="preserve">Loan</t>
  </si>
  <si>
    <t xml:space="preserve">Loan amount</t>
  </si>
  <si>
    <t xml:space="preserve">From the sizing sheet.</t>
  </si>
  <si>
    <t xml:space="preserve">Index at close (SOFR)</t>
  </si>
  <si>
    <t xml:space="preserve">Credit spread</t>
  </si>
  <si>
    <t xml:space="preserve">Rate cap strike</t>
  </si>
  <si>
    <t xml:space="preserve">On the index, not the all-in rate.</t>
  </si>
  <si>
    <t xml:space="preserve">Rate cap cost, amortised per year</t>
  </si>
  <si>
    <t xml:space="preserve">A three-year cap premium spread over its term. 10.10: not a footnote.</t>
  </si>
  <si>
    <t xml:space="preserve">Cash sweep trigger (DSCR)</t>
  </si>
  <si>
    <t xml:space="preserve">Springing cash management under 10.4.</t>
  </si>
  <si>
    <t xml:space="preserve">Default trigger (DSCR)</t>
  </si>
  <si>
    <t xml:space="preserve">Rate path</t>
  </si>
  <si>
    <t xml:space="preserve">Index at close</t>
  </si>
  <si>
    <t xml:space="preserve">+100bps</t>
  </si>
  <si>
    <t xml:space="preserve">+200bps</t>
  </si>
  <si>
    <t xml:space="preserve">+300bps</t>
  </si>
  <si>
    <t xml:space="preserve">+400bps</t>
  </si>
  <si>
    <t xml:space="preserve">+500bps</t>
  </si>
  <si>
    <t xml:space="preserve">Index</t>
  </si>
  <si>
    <t xml:space="preserve">Index after the cap</t>
  </si>
  <si>
    <t xml:space="preserve">All-in rate</t>
  </si>
  <si>
    <t xml:space="preserve">Debt service</t>
  </si>
  <si>
    <t xml:space="preserve">Debt service including cap cost</t>
  </si>
  <si>
    <t xml:space="preserve">DSCR — before the cap cost</t>
  </si>
  <si>
    <t xml:space="preserve">DSCR — after the cap cost</t>
  </si>
  <si>
    <t xml:space="preserve">This is the line the fund actually lives with. The covenant is usually tested on the line above.</t>
  </si>
  <si>
    <t xml:space="preserve">Flat across the path. That is why 10.3 calls it the favoured metric in volatile rate environments.</t>
  </si>
  <si>
    <t xml:space="preserve">Status</t>
  </si>
  <si>
    <t xml:space="preserve">Where the loan breaks</t>
  </si>
  <si>
    <t xml:space="preserve">Index level that triggers the cash sweep</t>
  </si>
  <si>
    <t xml:space="preserve">Capped at the strike: above it the cap takes over and the rate stops rising.</t>
  </si>
  <si>
    <t xml:space="preserve">Index headroom to the sweep</t>
  </si>
  <si>
    <t xml:space="preserve">Does the cap prevent a sweep entirely?</t>
  </si>
  <si>
    <t xml:space="preserve">If the answer is no, the cap is buying comfort rather than protection. Reprice the strike against the covenant, not against a view on rates.</t>
  </si>
  <si>
    <t xml:space="preserve">NOI decline that triggers the sweep at the capped rate</t>
  </si>
  <si>
    <t xml:space="preserve">Once the cap binds, the remaining risk is operating, not financial.</t>
  </si>
  <si>
    <t xml:space="preserve">The debt dashboard — 10.7, 10.8 and the triage in 10.10</t>
  </si>
  <si>
    <t xml:space="preserve">Section 10.8 asks for a dashboard that "converts financing choices into measurable exposures": rate, refinancing, covenant, counterparty and capital-stack complexity. Section 10.10 Step 1 asks you to triage each asset into one of four categories. Both live in the same table, because the triage is only credible if the exposures are in front of you.</t>
  </si>
  <si>
    <t xml:space="preserve">Balance</t>
  </si>
  <si>
    <t xml:space="preserve">Maturity year</t>
  </si>
  <si>
    <t xml:space="preserve">Floating?</t>
  </si>
  <si>
    <t xml:space="preserve">Hedged?</t>
  </si>
  <si>
    <t xml:space="preserve">Lender</t>
  </si>
  <si>
    <t xml:space="preserve">NOI</t>
  </si>
  <si>
    <t xml:space="preserve">Current value</t>
  </si>
  <si>
    <t xml:space="preserve">Extension conditional?</t>
  </si>
  <si>
    <t xml:space="preserve">Triage — 10.10 Step 1</t>
  </si>
  <si>
    <t xml:space="preserve">Industrial A</t>
  </si>
  <si>
    <t xml:space="preserve">Yes</t>
  </si>
  <si>
    <t xml:space="preserve">Bank Alpha</t>
  </si>
  <si>
    <t xml:space="preserve">No</t>
  </si>
  <si>
    <t xml:space="preserve">Industrial B</t>
  </si>
  <si>
    <t xml:space="preserve">Office C</t>
  </si>
  <si>
    <t xml:space="preserve">n/a</t>
  </si>
  <si>
    <t xml:space="preserve">Life Beta</t>
  </si>
  <si>
    <t xml:space="preserve">Retail D</t>
  </si>
  <si>
    <t xml:space="preserve">Debt Fund Gamma</t>
  </si>
  <si>
    <t xml:space="preserve">Multifamily E</t>
  </si>
  <si>
    <t xml:space="preserve">Agency Delta</t>
  </si>
  <si>
    <t xml:space="preserve">Logistics F</t>
  </si>
  <si>
    <t xml:space="preserve">Total</t>
  </si>
  <si>
    <t xml:space="preserve">Maturity ladder — 10.7</t>
  </si>
  <si>
    <t xml:space="preserve">Year</t>
  </si>
  <si>
    <t xml:space="preserve">Maturing</t>
  </si>
  <si>
    <t xml:space="preserve">Share of debt</t>
  </si>
  <si>
    <t xml:space="preserve">Flag</t>
  </si>
  <si>
    <t xml:space="preserve">Peak year</t>
  </si>
  <si>
    <t xml:space="preserve">Policy limit per year</t>
  </si>
  <si>
    <t xml:space="preserve">Set at fund formation, per 10.14.</t>
  </si>
  <si>
    <t xml:space="preserve">Portfolio exposures — 10.8</t>
  </si>
  <si>
    <t xml:space="preserve">Exposure</t>
  </si>
  <si>
    <t xml:space="preserve">Floating-rate share</t>
  </si>
  <si>
    <t xml:space="preserve">Rate exposure.</t>
  </si>
  <si>
    <t xml:space="preserve">Hedge coverage of floating debt</t>
  </si>
  <si>
    <t xml:space="preserve">Unhedged floating debt is the exposure that compounds every other one.</t>
  </si>
  <si>
    <t xml:space="preserve">Unhedged floating debt</t>
  </si>
  <si>
    <t xml:space="preserve">Debt maturing within 24 months</t>
  </si>
  <si>
    <t xml:space="preserve">Refinancing exposure.</t>
  </si>
  <si>
    <t xml:space="preserve">Debt on conditional extensions</t>
  </si>
  <si>
    <t xml:space="preserve">10.14: "treat conditional extensions as maturities".</t>
  </si>
  <si>
    <t xml:space="preserve">Largest lender concentration</t>
  </si>
  <si>
    <t xml:space="preserve">Counterparty exposure.</t>
  </si>
  <si>
    <t xml:space="preserve">Portfolio loan to value</t>
  </si>
  <si>
    <t xml:space="preserve">Portfolio debt yield</t>
  </si>
  <si>
    <t xml:space="preserve">Loans outside triage category 1</t>
  </si>
  <si>
    <t xml:space="preserve">Each of these needs a named owner and a dated plan.</t>
  </si>
  <si>
    <t xml:space="preserve">The proceeds gap — the mini case in 10.10</t>
  </si>
  <si>
    <t xml:space="preserve">"A fund bought an industrial portfolio with a $60M floating-rate bridge at 75% LTV under a 2021 valuation. By 2024, cap rates expanded and lender proceeds fell to $48M, creating a $12M gap." The manager closed it with a $6M paydown from fund liquidity and a $6M preferred equity tranche. All of that is below, with the arithmetic that connects the two dates.</t>
  </si>
  <si>
    <t xml:space="preserve">At origination — 2021</t>
  </si>
  <si>
    <t xml:space="preserve">Source</t>
  </si>
  <si>
    <t xml:space="preserve">10.10 — "a $60M floating-rate bridge"</t>
  </si>
  <si>
    <t xml:space="preserve">Loan to value at origination</t>
  </si>
  <si>
    <t xml:space="preserve">10.10 — "at 75% LTV"</t>
  </si>
  <si>
    <t xml:space="preserve">Net operating income at origination</t>
  </si>
  <si>
    <t xml:space="preserve">Illustrative: implies a 6.19% cap on the 2021 value, and a 8.25% debt yield on the loan.</t>
  </si>
  <si>
    <t xml:space="preserve">Implied 2021 value</t>
  </si>
  <si>
    <t xml:space="preserve">Implied 2021 cap rate</t>
  </si>
  <si>
    <t xml:space="preserve">At refinancing — 2024</t>
  </si>
  <si>
    <t xml:space="preserve">Net operating income now</t>
  </si>
  <si>
    <t xml:space="preserve">Up 6.7% since origination. The asset performed. That is not what went wrong.</t>
  </si>
  <si>
    <t xml:space="preserve">Lender cap rate now</t>
  </si>
  <si>
    <t xml:space="preserve">10.10 Step 2: "higher cap rates (lower value)".</t>
  </si>
  <si>
    <t xml:space="preserve">Maximum LTV now</t>
  </si>
  <si>
    <t xml:space="preserve">Still a bridge-lender number — and still not the test that binds.</t>
  </si>
  <si>
    <t xml:space="preserve">Minimum debt yield now</t>
  </si>
  <si>
    <t xml:space="preserve">Step 2: "higher debt yield minimums". This is the test that costs the fund $12M.</t>
  </si>
  <si>
    <t xml:space="preserve">Minimum DSCR now</t>
  </si>
  <si>
    <t xml:space="preserve">Refinancing rate now</t>
  </si>
  <si>
    <t xml:space="preserve">Lender value now</t>
  </si>
  <si>
    <t xml:space="preserve">Value change since 2021</t>
  </si>
  <si>
    <t xml:space="preserve">NOI rose 5%. Value fell anyway. That is a cap rate story, not an operating one.</t>
  </si>
  <si>
    <t xml:space="preserve">Proceeds under the 2024 credit box</t>
  </si>
  <si>
    <t xml:space="preserve">Refinancing proceeds</t>
  </si>
  <si>
    <t xml:space="preserve">Book: $48M</t>
  </si>
  <si>
    <t xml:space="preserve">Proceeds gap</t>
  </si>
  <si>
    <t xml:space="preserve">Book: $12M</t>
  </si>
  <si>
    <t xml:space="preserve">Gap as a share of the original loan</t>
  </si>
  <si>
    <t xml:space="preserve">Closing the gap — Step 4</t>
  </si>
  <si>
    <t xml:space="preserve">The book's solution was a $6M paydown and a $6M preferred equity tranche. Change either input and the other moves with it, so you can price the trade-off rather than assert it.</t>
  </si>
  <si>
    <t xml:space="preserve">Paydown from fund liquidity</t>
  </si>
  <si>
    <t xml:space="preserve">10.10 — "a $6M paydown from fund liquidity"</t>
  </si>
  <si>
    <t xml:space="preserve">Preferred equity required</t>
  </si>
  <si>
    <t xml:space="preserve">Book: $6M. It is the residual, not a separate decision.</t>
  </si>
  <si>
    <t xml:space="preserve">Preferred equity coupon</t>
  </si>
  <si>
    <t xml:space="preserve">Illustrative. Pref in a stressed refinancing does not price like common.</t>
  </si>
  <si>
    <t xml:space="preserve">Cost of the pref, per year</t>
  </si>
  <si>
    <t xml:space="preserve">New senior debt service</t>
  </si>
  <si>
    <t xml:space="preserve">Senior DSCR after the solution</t>
  </si>
  <si>
    <t xml:space="preserve">DSCR after senior and pref together</t>
  </si>
  <si>
    <t xml:space="preserve">The senior lender tests the line above. The fund lives with this one.</t>
  </si>
  <si>
    <t xml:space="preserve">Total capital structure after the fix</t>
  </si>
  <si>
    <t xml:space="preserve">Effective LTV on the lender value</t>
  </si>
  <si>
    <t xml:space="preserve">Adding pref does not reduce leverage. It changes who is exposed and in what order.</t>
  </si>
  <si>
    <t xml:space="preserve">What each dollar of paydown buys</t>
  </si>
  <si>
    <t xml:space="preserve">Paydown</t>
  </si>
  <si>
    <t xml:space="preserve">Pref required</t>
  </si>
  <si>
    <t xml:space="preserve">Annual pref cost</t>
  </si>
  <si>
    <t xml:space="preserve">Blended cost of the gap</t>
  </si>
  <si>
    <t xml:space="preserve">Reading</t>
  </si>
  <si>
    <t xml:space="preserve">The trade is liquidity against carry. Fund reserves spent here are reserves not available for the next covenant test, which is the point 14.6 makes about reserves in downturns. Pricing both sides is the whole exercise.</t>
  </si>
  <si>
    <t xml:space="preserve">Debt strategy checklist — 10.14</t>
  </si>
  <si>
    <t xml:space="preserve">Section 10.14: "use this checklist at fund formation, acquisition approval, and quarterly portfolio reviews." The Applies at column records which of the three it belongs to, so the same sheet works in all three meetings.</t>
  </si>
  <si>
    <t xml:space="preserve">#</t>
  </si>
  <si>
    <t xml:space="preserve">Item</t>
  </si>
  <si>
    <t xml:space="preserve">Applies at</t>
  </si>
  <si>
    <t xml:space="preserve">Owner and note</t>
  </si>
  <si>
    <t xml:space="preserve">Fund-level policy</t>
  </si>
  <si>
    <t xml:space="preserve">Define leverage ranges by strategy: core, core-plus, value-add, opportunistic.</t>
  </si>
  <si>
    <t xml:space="preserve">Formation</t>
  </si>
  <si>
    <t xml:space="preserve">Open</t>
  </si>
  <si>
    <t xml:space="preserve">Set floating-rate exposure limits and hedging requirements.</t>
  </si>
  <si>
    <t xml:space="preserve">Establish maturity ladder targets and maximum clustering.</t>
  </si>
  <si>
    <t xml:space="preserve">Define allowable capital stack complexity: pref and mezz limits.</t>
  </si>
  <si>
    <t xml:space="preserve">Maintain a liquidity policy tied to debt service and capex under stress.</t>
  </si>
  <si>
    <t xml:space="preserve">Deal-level underwriting</t>
  </si>
  <si>
    <t xml:space="preserve">Model proceeds under multiple lender types and stressed credit boxes.</t>
  </si>
  <si>
    <t xml:space="preserve">Acquisition</t>
  </si>
  <si>
    <t xml:space="preserve">Underwrite DSCR, debt yield and LTV/LTC under downside scenarios.</t>
  </si>
  <si>
    <t xml:space="preserve">Quantify covenant cost: cash traps, reserves, consent delays.</t>
  </si>
  <si>
    <t xml:space="preserve">Evaluate extension exercisability; treat conditional extensions as maturities.</t>
  </si>
  <si>
    <t xml:space="preserve">Document recourse and guarantees in a contingent liability ledger.</t>
  </si>
  <si>
    <t xml:space="preserve">Portfolio-level monitoring</t>
  </si>
  <si>
    <t xml:space="preserve">Monthly debt dashboard: maturities, covenant headroom, hedge status, lender concentration.</t>
  </si>
  <si>
    <t xml:space="preserve">Quarterly</t>
  </si>
  <si>
    <t xml:space="preserve">Quarterly stress test: NOI decline, cap rate expansion, spread widening, refi proceeds haircut.</t>
  </si>
  <si>
    <t xml:space="preserve">Annual lender relationship review: performance, flexibility and pricing.</t>
  </si>
  <si>
    <t xml:space="preserve">Stressed portfolios — the 10.10 playbook</t>
  </si>
  <si>
    <t xml:space="preserve">Every loan triaged into one of the four categories, refreshed monthly.</t>
  </si>
  <si>
    <t xml:space="preserve">Credit box model per lender type, updated monthly.</t>
  </si>
  <si>
    <t xml:space="preserve">Lender dialogue opened well before maturity, never inside 30 days.</t>
  </si>
  <si>
    <t xml:space="preserve">Options analysis on the table for each category 2-4 loan: refi, paydown, pref or mezz, sale.</t>
  </si>
  <si>
    <t xml:space="preserve">Sponsor support plan documented: liquidity, guarantees if needed.</t>
  </si>
  <si>
    <t xml:space="preserve">Status values: Done / In progress / Open / N/A</t>
  </si>
  <si>
    <t xml:space="preserve">Progress</t>
  </si>
  <si>
    <t xml:space="preserve">Count</t>
  </si>
  <si>
    <t xml:space="preserve">Done</t>
  </si>
  <si>
    <t xml:space="preserve">In progress</t>
  </si>
  <si>
    <t xml:space="preserve">Percentage complete</t>
  </si>
  <si>
    <t xml:space="preserve">Every figure Chapter 10 prints, and the internal consistency tests.</t>
  </si>
  <si>
    <t xml:space="preserve">Expected</t>
  </si>
  <si>
    <t xml:space="preserve">Computed</t>
  </si>
  <si>
    <t xml:space="preserve">Bridge loan at origination</t>
  </si>
  <si>
    <t xml:space="preserve">LTV at origination</t>
  </si>
  <si>
    <t xml:space="preserve">$60M / 75%</t>
  </si>
  <si>
    <t xml:space="preserve">Refinancing proceeds in 2024</t>
  </si>
  <si>
    <t xml:space="preserve">10.10 — "lender proceeds fell to $48M"</t>
  </si>
  <si>
    <t xml:space="preserve">10.10 — "creating a $12M gap"</t>
  </si>
  <si>
    <t xml:space="preserve">Preferred equity tranche</t>
  </si>
  <si>
    <t xml:space="preserve">10.10 — "a $6M preferred equity tranche"</t>
  </si>
  <si>
    <t xml:space="preserve">Paydown plus pref closes the gap</t>
  </si>
  <si>
    <t xml:space="preserve">The two must sum to the gap.</t>
  </si>
  <si>
    <t xml:space="preserve">Internal consistency</t>
  </si>
  <si>
    <t xml:space="preserve">Sizing: proceeds equal the tightest of the four tests</t>
  </si>
  <si>
    <t xml:space="preserve">The whole discipline of 10.3 in one line.</t>
  </si>
  <si>
    <t xml:space="preserve">Sizing: exactly one test is named binding</t>
  </si>
  <si>
    <t xml:space="preserve">Sizing: the resulting DSCR meets the minimum</t>
  </si>
  <si>
    <t xml:space="preserve">Sizing: the resulting debt yield meets the minimum</t>
  </si>
  <si>
    <t xml:space="preserve">Rate shock: the cap holds the rate at the strike</t>
  </si>
  <si>
    <t xml:space="preserve">The capped index can never exceed the strike.</t>
  </si>
  <si>
    <t xml:space="preserve">Ladder: the year buckets capture all debt</t>
  </si>
  <si>
    <t xml:space="preserve">No loan falls outside the ladder.</t>
  </si>
  <si>
    <t xml:space="preserve">Refi: pref is the residual after the paydown</t>
  </si>
  <si>
    <t xml:space="preserve">All checks</t>
  </si>
</sst>
</file>

<file path=xl/styles.xml><?xml version="1.0" encoding="utf-8"?>
<styleSheet xmlns="http://schemas.openxmlformats.org/spreadsheetml/2006/main">
  <numFmts count="6">
    <numFmt numFmtId="164" formatCode="General"/>
    <numFmt numFmtId="165" formatCode="\$#,##0;&quot;($&quot;#,##0\);\-"/>
    <numFmt numFmtId="166" formatCode="0.00%;\(0.00%\);\-"/>
    <numFmt numFmtId="167" formatCode="0"/>
    <numFmt numFmtId="168" formatCode="0.0%;\(0.0%\);\-"/>
    <numFmt numFmtId="169" formatCode="0.00\x"/>
  </numFmts>
  <fonts count="12">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sz val="10"/>
      <name val="Arial"/>
      <family val="0"/>
      <charset val="1"/>
    </font>
    <font>
      <b val="true"/>
      <sz val="11"/>
      <color rgb="FF1F3864"/>
      <name val="Arial"/>
      <family val="0"/>
      <charset val="1"/>
    </font>
    <font>
      <b val="true"/>
      <sz val="10"/>
      <name val="Arial"/>
      <family val="0"/>
      <charset val="1"/>
    </font>
    <font>
      <i val="true"/>
      <sz val="9"/>
      <color rgb="FF595959"/>
      <name val="Arial"/>
      <family val="0"/>
      <charset val="1"/>
    </font>
    <font>
      <b val="true"/>
      <sz val="10"/>
      <color rgb="FFFFFFFF"/>
      <name val="Arial"/>
      <family val="0"/>
      <charset val="1"/>
    </font>
    <font>
      <sz val="10"/>
      <color rgb="FF0000FF"/>
      <name val="Arial"/>
      <family val="0"/>
      <charset val="1"/>
    </font>
    <font>
      <sz val="10"/>
      <color rgb="FF008000"/>
      <name val="Arial"/>
      <family val="0"/>
      <charset val="1"/>
    </font>
  </fonts>
  <fills count="5">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EDF2F9"/>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9" fillId="2"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6" fontId="10" fillId="3" borderId="1" xfId="0" applyFont="true" applyBorder="true" applyAlignment="false" applyProtection="false">
      <alignment horizontal="general" vertical="bottom" textRotation="0" wrapText="false" indent="0" shrinkToFit="false"/>
      <protection locked="true" hidden="false"/>
    </xf>
    <xf numFmtId="167" fontId="10" fillId="3" borderId="1" xfId="0" applyFont="true" applyBorder="true" applyAlignment="false" applyProtection="false">
      <alignment horizontal="general" vertical="bottom" textRotation="0" wrapText="false" indent="0" shrinkToFit="false"/>
      <protection locked="true" hidden="false"/>
    </xf>
    <xf numFmtId="168" fontId="10" fillId="3" borderId="1" xfId="0" applyFont="true" applyBorder="true" applyAlignment="false" applyProtection="false">
      <alignment horizontal="general" vertical="bottom" textRotation="0" wrapText="false" indent="0" shrinkToFit="false"/>
      <protection locked="true" hidden="false"/>
    </xf>
    <xf numFmtId="169" fontId="10" fillId="3" borderId="1" xfId="0" applyFont="true" applyBorder="tru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5" fontId="7" fillId="4" borderId="0" xfId="0" applyFont="tru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9" fontId="5" fillId="0"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9" fontId="7" fillId="4" borderId="0" xfId="0" applyFont="true" applyBorder="false" applyAlignment="false" applyProtection="false">
      <alignment horizontal="general" vertical="bottom" textRotation="0" wrapText="fals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64" fontId="10" fillId="3" borderId="1" xfId="0" applyFont="true" applyBorder="true" applyAlignment="true" applyProtection="false">
      <alignment horizontal="center" vertical="bottom" textRotation="0" wrapText="false" indent="0" shrinkToFit="false"/>
      <protection locked="true" hidden="false"/>
    </xf>
    <xf numFmtId="168" fontId="7" fillId="4" borderId="0" xfId="0" applyFont="true" applyBorder="false" applyAlignment="false" applyProtection="false">
      <alignment horizontal="general"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9" fontId="7"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10" fillId="3"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DF2F9"/>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4" customFormat="false" ht="23.85" hidden="false" customHeight="false" outlineLevel="0" collapsed="false">
      <c r="B4" s="2" t="s">
        <v>1</v>
      </c>
    </row>
    <row r="6" customFormat="false" ht="15" hidden="false" customHeight="false" outlineLevel="0" collapsed="false">
      <c r="B6" s="3" t="s">
        <v>2</v>
      </c>
    </row>
    <row r="7" customFormat="false" ht="46.25" hidden="false" customHeight="false" outlineLevel="0" collapsed="false">
      <c r="B7" s="2" t="s">
        <v>3</v>
      </c>
    </row>
    <row r="9" customFormat="false" ht="15" hidden="false" customHeight="false" outlineLevel="0" collapsed="false">
      <c r="B9" s="3" t="s">
        <v>4</v>
      </c>
    </row>
    <row r="10" customFormat="false" ht="15" hidden="false" customHeight="false" outlineLevel="0" collapsed="false">
      <c r="B10" s="4" t="s">
        <v>5</v>
      </c>
    </row>
    <row r="11" customFormat="false" ht="23.85" hidden="false" customHeight="false" outlineLevel="0" collapsed="false">
      <c r="B11" s="2" t="s">
        <v>6</v>
      </c>
    </row>
    <row r="12" customFormat="false" ht="15" hidden="false" customHeight="false" outlineLevel="0" collapsed="false">
      <c r="B12" s="4" t="s">
        <v>7</v>
      </c>
    </row>
    <row r="13" customFormat="false" ht="23.85" hidden="false" customHeight="false" outlineLevel="0" collapsed="false">
      <c r="B13" s="2" t="s">
        <v>8</v>
      </c>
    </row>
    <row r="14" customFormat="false" ht="15" hidden="false" customHeight="false" outlineLevel="0" collapsed="false">
      <c r="B14" s="4" t="s">
        <v>9</v>
      </c>
    </row>
    <row r="15" customFormat="false" ht="23.85" hidden="false" customHeight="false" outlineLevel="0" collapsed="false">
      <c r="B15" s="2" t="s">
        <v>10</v>
      </c>
    </row>
    <row r="16" customFormat="false" ht="15" hidden="false" customHeight="false" outlineLevel="0" collapsed="false">
      <c r="B16" s="4" t="s">
        <v>11</v>
      </c>
    </row>
    <row r="17" customFormat="false" ht="35.05" hidden="false" customHeight="false" outlineLevel="0" collapsed="false">
      <c r="B17" s="2" t="s">
        <v>12</v>
      </c>
    </row>
    <row r="18" customFormat="false" ht="15" hidden="false" customHeight="false" outlineLevel="0" collapsed="false">
      <c r="B18" s="4" t="s">
        <v>13</v>
      </c>
    </row>
    <row r="19" customFormat="false" ht="15" hidden="false" customHeight="false" outlineLevel="0" collapsed="false">
      <c r="B19" s="2" t="s">
        <v>14</v>
      </c>
    </row>
    <row r="20" customFormat="false" ht="15" hidden="false" customHeight="false" outlineLevel="0" collapsed="false">
      <c r="B20" s="4" t="s">
        <v>15</v>
      </c>
    </row>
    <row r="21" customFormat="false" ht="15" hidden="false" customHeight="false" outlineLevel="0" collapsed="false">
      <c r="B21" s="2" t="s">
        <v>16</v>
      </c>
    </row>
    <row r="23" customFormat="false" ht="15" hidden="false" customHeight="false" outlineLevel="0" collapsed="false">
      <c r="B23" s="5" t="s">
        <v>17</v>
      </c>
    </row>
    <row r="25" customFormat="false" ht="15" hidden="false" customHeight="false" outlineLevel="0" collapsed="false">
      <c r="B25" s="5" t="s">
        <v>18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4"/>
    <col collapsed="false" customWidth="true" hidden="false" outlineLevel="0" max="7" min="3" style="0" width="16"/>
    <col collapsed="false" customWidth="true" hidden="false" outlineLevel="0" max="8" min="8" style="0" width="52"/>
  </cols>
  <sheetData>
    <row r="2" customFormat="false" ht="32.8" hidden="false" customHeight="false" outlineLevel="0" collapsed="false">
      <c r="B2" s="1" t="s">
        <v>19</v>
      </c>
    </row>
    <row r="4" customFormat="false" ht="31.5" hidden="false" customHeight="true" outlineLevel="0" collapsed="false">
      <c r="B4" s="6" t="s">
        <v>20</v>
      </c>
      <c r="C4" s="6"/>
      <c r="D4" s="6"/>
      <c r="E4" s="6"/>
      <c r="F4" s="6"/>
      <c r="G4" s="6"/>
      <c r="H4" s="6"/>
    </row>
    <row r="6" customFormat="false" ht="15" hidden="false" customHeight="false" outlineLevel="0" collapsed="false">
      <c r="B6" s="3" t="s">
        <v>21</v>
      </c>
    </row>
    <row r="7" customFormat="false" ht="27.75" hidden="false" customHeight="true" outlineLevel="0" collapsed="false">
      <c r="B7" s="7" t="s">
        <v>22</v>
      </c>
      <c r="C7" s="7" t="s">
        <v>23</v>
      </c>
      <c r="H7" s="7" t="s">
        <v>24</v>
      </c>
    </row>
    <row r="8" customFormat="false" ht="15" hidden="false" customHeight="false" outlineLevel="0" collapsed="false">
      <c r="B8" s="8" t="s">
        <v>25</v>
      </c>
      <c r="C8" s="9" t="n">
        <v>6400000</v>
      </c>
      <c r="H8" s="5"/>
    </row>
    <row r="9" customFormat="false" ht="22.35" hidden="false" customHeight="false" outlineLevel="0" collapsed="false">
      <c r="B9" s="8" t="s">
        <v>26</v>
      </c>
      <c r="C9" s="9" t="n">
        <v>128000000</v>
      </c>
      <c r="H9" s="5" t="s">
        <v>27</v>
      </c>
    </row>
    <row r="10" customFormat="false" ht="15" hidden="false" customHeight="false" outlineLevel="0" collapsed="false">
      <c r="B10" s="8" t="s">
        <v>28</v>
      </c>
      <c r="C10" s="9" t="n">
        <v>120000000</v>
      </c>
      <c r="H10" s="5" t="s">
        <v>29</v>
      </c>
    </row>
    <row r="11" customFormat="false" ht="15" hidden="false" customHeight="false" outlineLevel="0" collapsed="false">
      <c r="B11" s="8" t="s">
        <v>30</v>
      </c>
      <c r="C11" s="10" t="n">
        <v>0.065</v>
      </c>
      <c r="H11" s="5"/>
    </row>
    <row r="12" customFormat="false" ht="15" hidden="false" customHeight="false" outlineLevel="0" collapsed="false">
      <c r="B12" s="8" t="s">
        <v>31</v>
      </c>
      <c r="C12" s="11" t="n">
        <v>30</v>
      </c>
      <c r="H12" s="5" t="s">
        <v>32</v>
      </c>
    </row>
    <row r="14" customFormat="false" ht="15" hidden="false" customHeight="false" outlineLevel="0" collapsed="false">
      <c r="B14" s="3" t="s">
        <v>33</v>
      </c>
    </row>
    <row r="15" customFormat="false" ht="27.75" hidden="false" customHeight="true" outlineLevel="0" collapsed="false">
      <c r="B15" s="7" t="s">
        <v>34</v>
      </c>
      <c r="C15" s="7" t="s">
        <v>35</v>
      </c>
      <c r="H15" s="7" t="s">
        <v>24</v>
      </c>
    </row>
    <row r="16" customFormat="false" ht="15" hidden="false" customHeight="false" outlineLevel="0" collapsed="false">
      <c r="B16" s="8" t="s">
        <v>36</v>
      </c>
      <c r="C16" s="12" t="n">
        <v>0.65</v>
      </c>
      <c r="H16" s="5"/>
    </row>
    <row r="17" customFormat="false" ht="15" hidden="false" customHeight="false" outlineLevel="0" collapsed="false">
      <c r="B17" s="8" t="s">
        <v>37</v>
      </c>
      <c r="C17" s="12" t="n">
        <v>0.7</v>
      </c>
      <c r="H17" s="5" t="s">
        <v>38</v>
      </c>
    </row>
    <row r="18" customFormat="false" ht="15" hidden="false" customHeight="false" outlineLevel="0" collapsed="false">
      <c r="B18" s="8" t="s">
        <v>39</v>
      </c>
      <c r="C18" s="13" t="n">
        <v>1.25</v>
      </c>
      <c r="H18" s="5"/>
    </row>
    <row r="19" customFormat="false" ht="22.35" hidden="false" customHeight="false" outlineLevel="0" collapsed="false">
      <c r="B19" s="8" t="s">
        <v>40</v>
      </c>
      <c r="C19" s="10" t="n">
        <v>0.095</v>
      </c>
      <c r="H19" s="5" t="s">
        <v>41</v>
      </c>
    </row>
    <row r="21" customFormat="false" ht="15" hidden="false" customHeight="false" outlineLevel="0" collapsed="false">
      <c r="B21" s="3" t="s">
        <v>42</v>
      </c>
    </row>
    <row r="22" customFormat="false" ht="27.75" hidden="false" customHeight="true" outlineLevel="0" collapsed="false">
      <c r="B22" s="7" t="s">
        <v>34</v>
      </c>
      <c r="C22" s="7" t="s">
        <v>43</v>
      </c>
      <c r="D22" s="7" t="s">
        <v>44</v>
      </c>
      <c r="H22" s="7" t="s">
        <v>45</v>
      </c>
    </row>
    <row r="23" customFormat="false" ht="15" hidden="false" customHeight="false" outlineLevel="0" collapsed="false">
      <c r="B23" s="8" t="s">
        <v>46</v>
      </c>
      <c r="C23" s="14" t="n">
        <f aca="false">$C$9*$C$16</f>
        <v>83200000</v>
      </c>
      <c r="D23" s="4" t="str">
        <f aca="false">IF(C23=MIN($C$23:$C$26),"BINDING","")</f>
        <v/>
      </c>
      <c r="H23" s="5" t="s">
        <v>47</v>
      </c>
    </row>
    <row r="24" customFormat="false" ht="15" hidden="false" customHeight="false" outlineLevel="0" collapsed="false">
      <c r="B24" s="8" t="s">
        <v>48</v>
      </c>
      <c r="C24" s="14" t="n">
        <f aca="false">$C$10*$C$17</f>
        <v>84000000</v>
      </c>
      <c r="D24" s="4" t="str">
        <f aca="false">IF(C24=MIN($C$23:$C$26),"BINDING","")</f>
        <v/>
      </c>
      <c r="H24" s="5" t="s">
        <v>49</v>
      </c>
    </row>
    <row r="25" customFormat="false" ht="22.35" hidden="false" customHeight="false" outlineLevel="0" collapsed="false">
      <c r="B25" s="8" t="s">
        <v>50</v>
      </c>
      <c r="C25" s="14" t="n">
        <f aca="false">IFERROR(IF($C$12=0,$C$8/$C$18/$C$11,$C$8/$C$18/(-PMT($C$11,$C$12,1))),0)</f>
        <v>66860420.6387348</v>
      </c>
      <c r="D25" s="4" t="str">
        <f aca="false">IF(C25=MIN($C$23:$C$26),"BINDING","")</f>
        <v>BINDING</v>
      </c>
      <c r="H25" s="5" t="s">
        <v>51</v>
      </c>
    </row>
    <row r="26" customFormat="false" ht="15" hidden="false" customHeight="false" outlineLevel="0" collapsed="false">
      <c r="B26" s="8" t="s">
        <v>52</v>
      </c>
      <c r="C26" s="14" t="n">
        <f aca="false">IFERROR($C$8/$C$19,0)</f>
        <v>67368421.0526316</v>
      </c>
      <c r="D26" s="4" t="str">
        <f aca="false">IF(C26=MIN($C$23:$C$26),"BINDING","")</f>
        <v/>
      </c>
      <c r="H26" s="5" t="s">
        <v>53</v>
      </c>
    </row>
    <row r="27" customFormat="false" ht="15" hidden="false" customHeight="false" outlineLevel="0" collapsed="false">
      <c r="B27" s="15" t="s">
        <v>54</v>
      </c>
      <c r="C27" s="16" t="n">
        <f aca="false">MIN(C23:C26)</f>
        <v>66860420.6387348</v>
      </c>
    </row>
    <row r="28" customFormat="false" ht="15" hidden="false" customHeight="false" outlineLevel="0" collapsed="false">
      <c r="B28" s="15" t="s">
        <v>55</v>
      </c>
      <c r="C28" s="15" t="str">
        <f aca="false">INDEX($B$23:$B$26,MATCH(MIN($C$23:$C$26),$C$23:$C$26,0))</f>
        <v>Debt service coverage</v>
      </c>
    </row>
    <row r="29" customFormat="false" ht="22.35" hidden="false" customHeight="false" outlineLevel="0" collapsed="false">
      <c r="B29" s="8" t="s">
        <v>56</v>
      </c>
      <c r="C29" s="14" t="n">
        <f aca="false">SMALL($C$23:$C$26,2)-$C$27</f>
        <v>508000.413896821</v>
      </c>
      <c r="H29" s="5" t="s">
        <v>57</v>
      </c>
    </row>
    <row r="31" customFormat="false" ht="15" hidden="false" customHeight="false" outlineLevel="0" collapsed="false">
      <c r="B31" s="3" t="s">
        <v>58</v>
      </c>
    </row>
    <row r="32" customFormat="false" ht="27.75" hidden="false" customHeight="true" outlineLevel="0" collapsed="false">
      <c r="B32" s="7"/>
      <c r="C32" s="7" t="s">
        <v>23</v>
      </c>
      <c r="H32" s="7"/>
    </row>
    <row r="33" customFormat="false" ht="15" hidden="false" customHeight="false" outlineLevel="0" collapsed="false">
      <c r="B33" s="8" t="s">
        <v>59</v>
      </c>
      <c r="C33" s="14" t="n">
        <f aca="false">$C$10-$C$27</f>
        <v>53139579.3612653</v>
      </c>
    </row>
    <row r="34" customFormat="false" ht="15" hidden="false" customHeight="false" outlineLevel="0" collapsed="false">
      <c r="B34" s="8" t="s">
        <v>60</v>
      </c>
      <c r="C34" s="14" t="n">
        <f aca="false">IFERROR(IF($C$12=0,$C$27*$C$11,$C$27*(-PMT($C$11,$C$12,1))),0)</f>
        <v>5120000</v>
      </c>
    </row>
    <row r="35" customFormat="false" ht="15" hidden="false" customHeight="false" outlineLevel="0" collapsed="false">
      <c r="B35" s="8" t="s">
        <v>61</v>
      </c>
      <c r="C35" s="17" t="n">
        <f aca="false">IFERROR($C$27/$C$9,0)</f>
        <v>0.522347036240115</v>
      </c>
    </row>
    <row r="36" customFormat="false" ht="15" hidden="false" customHeight="false" outlineLevel="0" collapsed="false">
      <c r="B36" s="8" t="s">
        <v>62</v>
      </c>
      <c r="C36" s="17" t="n">
        <f aca="false">IFERROR($C$27/$C$10,0)</f>
        <v>0.557170171989456</v>
      </c>
    </row>
    <row r="37" customFormat="false" ht="15" hidden="false" customHeight="false" outlineLevel="0" collapsed="false">
      <c r="B37" s="8" t="s">
        <v>63</v>
      </c>
      <c r="C37" s="18" t="n">
        <f aca="false">IFERROR($C$8/$C$34,0)</f>
        <v>1.25</v>
      </c>
    </row>
    <row r="38" customFormat="false" ht="15" hidden="false" customHeight="false" outlineLevel="0" collapsed="false">
      <c r="B38" s="8" t="s">
        <v>64</v>
      </c>
      <c r="C38" s="17" t="n">
        <f aca="false">IFERROR($C$8/$C$27,0)</f>
        <v>0.0957218028073883</v>
      </c>
    </row>
    <row r="40" customFormat="false" ht="26.85" hidden="false" customHeight="false" outlineLevel="0" collapsed="false">
      <c r="B40" s="3" t="s">
        <v>65</v>
      </c>
    </row>
    <row r="41" customFormat="false" ht="31.5" hidden="false" customHeight="true" outlineLevel="0" collapsed="false">
      <c r="B41" s="6" t="s">
        <v>66</v>
      </c>
      <c r="C41" s="6"/>
      <c r="D41" s="6"/>
      <c r="E41" s="6"/>
      <c r="F41" s="6"/>
      <c r="G41" s="6"/>
      <c r="H41" s="6"/>
    </row>
    <row r="43" customFormat="false" ht="27.75" hidden="false" customHeight="true" outlineLevel="0" collapsed="false">
      <c r="B43" s="7" t="s">
        <v>67</v>
      </c>
      <c r="C43" s="7" t="s">
        <v>68</v>
      </c>
      <c r="D43" s="7" t="s">
        <v>69</v>
      </c>
      <c r="E43" s="7" t="s">
        <v>70</v>
      </c>
      <c r="F43" s="7" t="s">
        <v>71</v>
      </c>
      <c r="G43" s="7" t="s">
        <v>54</v>
      </c>
      <c r="H43" s="7" t="s">
        <v>55</v>
      </c>
    </row>
    <row r="44" customFormat="false" ht="15" hidden="false" customHeight="false" outlineLevel="0" collapsed="false">
      <c r="B44" s="8" t="s">
        <v>72</v>
      </c>
      <c r="C44" s="12" t="n">
        <v>0.6</v>
      </c>
      <c r="D44" s="13" t="n">
        <v>1.3</v>
      </c>
      <c r="E44" s="10" t="n">
        <v>0.1</v>
      </c>
      <c r="F44" s="10" t="n">
        <v>0.0625</v>
      </c>
      <c r="G44" s="14" t="n">
        <f aca="false">MIN($C$9*C44,IFERROR($C$8/D44/F44,0),IFERROR($C$8/E44,0))</f>
        <v>64000000</v>
      </c>
      <c r="H44" s="4" t="str">
        <f aca="false">IF(G44=$C$9*C44,"LTV",IF(ABS(G44-$C$8/D44/F44)&lt;1,"DSCR","Debt yield"))</f>
        <v>Debt yield</v>
      </c>
    </row>
    <row r="45" customFormat="false" ht="15" hidden="false" customHeight="false" outlineLevel="0" collapsed="false">
      <c r="B45" s="8" t="s">
        <v>73</v>
      </c>
      <c r="C45" s="12" t="n">
        <v>0.5</v>
      </c>
      <c r="D45" s="13" t="n">
        <v>1.4</v>
      </c>
      <c r="E45" s="10" t="n">
        <v>0.095</v>
      </c>
      <c r="F45" s="10" t="n">
        <v>0.057</v>
      </c>
      <c r="G45" s="14" t="n">
        <f aca="false">MIN($C$9*C45,IFERROR($C$8/D45/F45,0),IFERROR($C$8/E45,0))</f>
        <v>64000000</v>
      </c>
      <c r="H45" s="4" t="str">
        <f aca="false">IF(G45=$C$9*C45,"LTV",IF(ABS(G45-$C$8/D45/F45)&lt;1,"DSCR","Debt yield"))</f>
        <v>LTV</v>
      </c>
    </row>
    <row r="46" customFormat="false" ht="15" hidden="false" customHeight="false" outlineLevel="0" collapsed="false">
      <c r="B46" s="8" t="s">
        <v>74</v>
      </c>
      <c r="C46" s="12" t="n">
        <v>0.7</v>
      </c>
      <c r="D46" s="13" t="n">
        <v>1.1</v>
      </c>
      <c r="E46" s="10" t="n">
        <v>0.085</v>
      </c>
      <c r="F46" s="10" t="n">
        <v>0.085</v>
      </c>
      <c r="G46" s="14" t="n">
        <f aca="false">MIN($C$9*C46,IFERROR($C$8/D46/F46,0),IFERROR($C$8/E46,0))</f>
        <v>68449197.8609626</v>
      </c>
      <c r="H46" s="4" t="str">
        <f aca="false">IF(G46=$C$9*C46,"LTV",IF(ABS(G46-$C$8/D46/F46)&lt;1,"DSCR","Debt yield"))</f>
        <v>DSCR</v>
      </c>
    </row>
    <row r="47" customFormat="false" ht="15" hidden="false" customHeight="false" outlineLevel="0" collapsed="false">
      <c r="B47" s="8" t="s">
        <v>75</v>
      </c>
      <c r="C47" s="12" t="n">
        <v>0.65</v>
      </c>
      <c r="D47" s="13" t="n">
        <v>1.25</v>
      </c>
      <c r="E47" s="10" t="n">
        <v>0.09</v>
      </c>
      <c r="F47" s="10" t="n">
        <v>0.061</v>
      </c>
      <c r="G47" s="14" t="n">
        <f aca="false">MIN($C$9*C47,IFERROR($C$8/D47/F47,0),IFERROR($C$8/E47,0))</f>
        <v>71111111.1111111</v>
      </c>
      <c r="H47" s="4" t="str">
        <f aca="false">IF(G47=$C$9*C47,"LTV",IF(ABS(G47-$C$8/D47/F47)&lt;1,"DSCR","Debt yield"))</f>
        <v>Debt yield</v>
      </c>
    </row>
    <row r="48" customFormat="false" ht="15" hidden="false" customHeight="false" outlineLevel="0" collapsed="false">
      <c r="B48" s="15" t="s">
        <v>76</v>
      </c>
      <c r="G48" s="16" t="n">
        <f aca="false">MAX(G44:G47)</f>
        <v>71111111.1111111</v>
      </c>
    </row>
    <row r="49" customFormat="false" ht="15" hidden="false" customHeight="false" outlineLevel="0" collapsed="false">
      <c r="B49" s="15" t="s">
        <v>77</v>
      </c>
      <c r="G49" s="16" t="n">
        <f aca="false">MIN(G44:G47)</f>
        <v>64000000</v>
      </c>
    </row>
    <row r="50" customFormat="false" ht="22.35" hidden="false" customHeight="false" outlineLevel="0" collapsed="false">
      <c r="B50" s="15" t="s">
        <v>78</v>
      </c>
      <c r="G50" s="16" t="n">
        <f aca="false">MAX(G44:G47)-MIN(G44:G47)</f>
        <v>7111111.11111112</v>
      </c>
      <c r="H50" s="5" t="s">
        <v>79</v>
      </c>
    </row>
  </sheetData>
  <mergeCells count="2">
    <mergeCell ref="B4:H4"/>
    <mergeCell ref="B41:H4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8" min="3" style="0" width="15"/>
    <col collapsed="false" customWidth="true" hidden="false" outlineLevel="0" max="9" min="9" style="0" width="50"/>
  </cols>
  <sheetData>
    <row r="2" customFormat="false" ht="32.8" hidden="false" customHeight="false" outlineLevel="0" collapsed="false">
      <c r="B2" s="1" t="s">
        <v>80</v>
      </c>
    </row>
    <row r="4" customFormat="false" ht="31.5" hidden="false" customHeight="true" outlineLevel="0" collapsed="false">
      <c r="B4" s="6" t="s">
        <v>81</v>
      </c>
      <c r="C4" s="6"/>
      <c r="D4" s="6"/>
      <c r="E4" s="6"/>
      <c r="F4" s="6"/>
      <c r="G4" s="6"/>
      <c r="H4" s="6"/>
      <c r="I4" s="6"/>
    </row>
    <row r="6" customFormat="false" ht="15" hidden="false" customHeight="false" outlineLevel="0" collapsed="false">
      <c r="B6" s="3" t="s">
        <v>82</v>
      </c>
    </row>
    <row r="7" customFormat="false" ht="27.75" hidden="false" customHeight="true" outlineLevel="0" collapsed="false">
      <c r="B7" s="7" t="s">
        <v>22</v>
      </c>
      <c r="C7" s="7" t="s">
        <v>23</v>
      </c>
      <c r="I7" s="7" t="s">
        <v>24</v>
      </c>
    </row>
    <row r="8" customFormat="false" ht="15" hidden="false" customHeight="false" outlineLevel="0" collapsed="false">
      <c r="B8" s="8" t="s">
        <v>83</v>
      </c>
      <c r="C8" s="19" t="n">
        <f aca="false">'Loan Sizing'!$C$27</f>
        <v>66860420.6387348</v>
      </c>
      <c r="I8" s="5" t="s">
        <v>84</v>
      </c>
    </row>
    <row r="9" customFormat="false" ht="15" hidden="false" customHeight="false" outlineLevel="0" collapsed="false">
      <c r="B9" s="8" t="s">
        <v>25</v>
      </c>
      <c r="C9" s="19" t="n">
        <f aca="false">'Loan Sizing'!$C$8</f>
        <v>6400000</v>
      </c>
      <c r="I9" s="5"/>
    </row>
    <row r="10" customFormat="false" ht="15" hidden="false" customHeight="false" outlineLevel="0" collapsed="false">
      <c r="B10" s="8" t="s">
        <v>85</v>
      </c>
      <c r="C10" s="10" t="n">
        <v>0.043</v>
      </c>
      <c r="I10" s="5"/>
    </row>
    <row r="11" customFormat="false" ht="15" hidden="false" customHeight="false" outlineLevel="0" collapsed="false">
      <c r="B11" s="8" t="s">
        <v>86</v>
      </c>
      <c r="C11" s="10" t="n">
        <v>0.025</v>
      </c>
      <c r="I11" s="5"/>
    </row>
    <row r="12" customFormat="false" ht="15" hidden="false" customHeight="false" outlineLevel="0" collapsed="false">
      <c r="B12" s="8" t="s">
        <v>87</v>
      </c>
      <c r="C12" s="10" t="n">
        <v>0.065</v>
      </c>
      <c r="I12" s="5" t="s">
        <v>88</v>
      </c>
    </row>
    <row r="13" customFormat="false" ht="22.35" hidden="false" customHeight="false" outlineLevel="0" collapsed="false">
      <c r="B13" s="8" t="s">
        <v>89</v>
      </c>
      <c r="C13" s="9" t="n">
        <v>420000</v>
      </c>
      <c r="I13" s="5" t="s">
        <v>90</v>
      </c>
    </row>
    <row r="14" customFormat="false" ht="15" hidden="false" customHeight="false" outlineLevel="0" collapsed="false">
      <c r="B14" s="8" t="s">
        <v>91</v>
      </c>
      <c r="C14" s="13" t="n">
        <v>1.15</v>
      </c>
      <c r="I14" s="5" t="s">
        <v>92</v>
      </c>
    </row>
    <row r="15" customFormat="false" ht="15" hidden="false" customHeight="false" outlineLevel="0" collapsed="false">
      <c r="B15" s="8" t="s">
        <v>93</v>
      </c>
      <c r="C15" s="13" t="n">
        <v>1.05</v>
      </c>
      <c r="I15" s="5"/>
    </row>
    <row r="17" customFormat="false" ht="15" hidden="false" customHeight="false" outlineLevel="0" collapsed="false">
      <c r="B17" s="3" t="s">
        <v>94</v>
      </c>
    </row>
    <row r="18" customFormat="false" ht="27.75" hidden="false" customHeight="true" outlineLevel="0" collapsed="false">
      <c r="B18" s="7"/>
      <c r="C18" s="7" t="s">
        <v>95</v>
      </c>
      <c r="D18" s="7" t="s">
        <v>96</v>
      </c>
      <c r="E18" s="7" t="s">
        <v>97</v>
      </c>
      <c r="F18" s="7" t="s">
        <v>98</v>
      </c>
      <c r="G18" s="7" t="s">
        <v>99</v>
      </c>
      <c r="H18" s="7" t="s">
        <v>100</v>
      </c>
      <c r="I18" s="7" t="s">
        <v>24</v>
      </c>
    </row>
    <row r="19" customFormat="false" ht="15" hidden="false" customHeight="false" outlineLevel="0" collapsed="false">
      <c r="B19" s="8" t="s">
        <v>101</v>
      </c>
      <c r="C19" s="17" t="n">
        <f aca="false">$C$10+0</f>
        <v>0.043</v>
      </c>
      <c r="D19" s="17" t="n">
        <f aca="false">$C$10+0.01</f>
        <v>0.053</v>
      </c>
      <c r="E19" s="17" t="n">
        <f aca="false">$C$10+0.02</f>
        <v>0.063</v>
      </c>
      <c r="F19" s="17" t="n">
        <f aca="false">$C$10+0.03</f>
        <v>0.073</v>
      </c>
      <c r="G19" s="17" t="n">
        <f aca="false">$C$10+0.04</f>
        <v>0.083</v>
      </c>
      <c r="H19" s="17" t="n">
        <f aca="false">$C$10+0.05</f>
        <v>0.093</v>
      </c>
    </row>
    <row r="20" customFormat="false" ht="15" hidden="false" customHeight="false" outlineLevel="0" collapsed="false">
      <c r="B20" s="8" t="s">
        <v>102</v>
      </c>
      <c r="C20" s="17" t="n">
        <f aca="false">MIN(C$19,$C$12)</f>
        <v>0.043</v>
      </c>
      <c r="D20" s="17" t="n">
        <f aca="false">MIN(D$19,$C$12)</f>
        <v>0.053</v>
      </c>
      <c r="E20" s="17" t="n">
        <f aca="false">MIN(E$19,$C$12)</f>
        <v>0.063</v>
      </c>
      <c r="F20" s="17" t="n">
        <f aca="false">MIN(F$19,$C$12)</f>
        <v>0.065</v>
      </c>
      <c r="G20" s="17" t="n">
        <f aca="false">MIN(G$19,$C$12)</f>
        <v>0.065</v>
      </c>
      <c r="H20" s="17" t="n">
        <f aca="false">MIN(H$19,$C$12)</f>
        <v>0.065</v>
      </c>
    </row>
    <row r="21" customFormat="false" ht="15" hidden="false" customHeight="false" outlineLevel="0" collapsed="false">
      <c r="B21" s="8" t="s">
        <v>103</v>
      </c>
      <c r="C21" s="17" t="n">
        <f aca="false">C$20+$C$11</f>
        <v>0.068</v>
      </c>
      <c r="D21" s="17" t="n">
        <f aca="false">D$20+$C$11</f>
        <v>0.078</v>
      </c>
      <c r="E21" s="17" t="n">
        <f aca="false">E$20+$C$11</f>
        <v>0.088</v>
      </c>
      <c r="F21" s="17" t="n">
        <f aca="false">F$20+$C$11</f>
        <v>0.09</v>
      </c>
      <c r="G21" s="17" t="n">
        <f aca="false">G$20+$C$11</f>
        <v>0.09</v>
      </c>
      <c r="H21" s="17" t="n">
        <f aca="false">H$20+$C$11</f>
        <v>0.09</v>
      </c>
    </row>
    <row r="22" customFormat="false" ht="15" hidden="false" customHeight="false" outlineLevel="0" collapsed="false">
      <c r="B22" s="8" t="s">
        <v>104</v>
      </c>
      <c r="C22" s="14" t="n">
        <f aca="false">$C$8*C$21</f>
        <v>4546508.60343396</v>
      </c>
      <c r="D22" s="14" t="n">
        <f aca="false">$C$8*D$21</f>
        <v>5215112.80982131</v>
      </c>
      <c r="E22" s="14" t="n">
        <f aca="false">$C$8*E$21</f>
        <v>5883717.01620866</v>
      </c>
      <c r="F22" s="14" t="n">
        <f aca="false">$C$8*F$21</f>
        <v>6017437.85748613</v>
      </c>
      <c r="G22" s="14" t="n">
        <f aca="false">$C$8*G$21</f>
        <v>6017437.85748613</v>
      </c>
      <c r="H22" s="14" t="n">
        <f aca="false">$C$8*H$21</f>
        <v>6017437.85748613</v>
      </c>
    </row>
    <row r="23" customFormat="false" ht="15" hidden="false" customHeight="false" outlineLevel="0" collapsed="false">
      <c r="B23" s="8" t="s">
        <v>105</v>
      </c>
      <c r="C23" s="14" t="n">
        <f aca="false">C$22+$C$13</f>
        <v>4966508.60343396</v>
      </c>
      <c r="D23" s="14" t="n">
        <f aca="false">D$22+$C$13</f>
        <v>5635112.80982131</v>
      </c>
      <c r="E23" s="14" t="n">
        <f aca="false">E$22+$C$13</f>
        <v>6303717.01620866</v>
      </c>
      <c r="F23" s="14" t="n">
        <f aca="false">F$22+$C$13</f>
        <v>6437437.85748613</v>
      </c>
      <c r="G23" s="14" t="n">
        <f aca="false">G$22+$C$13</f>
        <v>6437437.85748613</v>
      </c>
      <c r="H23" s="14" t="n">
        <f aca="false">H$22+$C$13</f>
        <v>6437437.85748613</v>
      </c>
    </row>
    <row r="24" customFormat="false" ht="15" hidden="false" customHeight="false" outlineLevel="0" collapsed="false">
      <c r="B24" s="8" t="s">
        <v>106</v>
      </c>
      <c r="C24" s="18" t="n">
        <f aca="false">IFERROR($C$9/C$22,0)</f>
        <v>1.40767357069689</v>
      </c>
      <c r="D24" s="18" t="n">
        <f aca="false">IFERROR($C$9/D$22,0)</f>
        <v>1.22720260009472</v>
      </c>
      <c r="E24" s="18" t="n">
        <f aca="false">IFERROR($C$9/E$22,0)</f>
        <v>1.08774775917487</v>
      </c>
      <c r="F24" s="18" t="n">
        <f aca="false">IFERROR($C$9/F$22,0)</f>
        <v>1.06357558674876</v>
      </c>
      <c r="G24" s="18" t="n">
        <f aca="false">IFERROR($C$9/G$22,0)</f>
        <v>1.06357558674876</v>
      </c>
      <c r="H24" s="18" t="n">
        <f aca="false">IFERROR($C$9/H$22,0)</f>
        <v>1.06357558674876</v>
      </c>
    </row>
    <row r="25" customFormat="false" ht="22.35" hidden="false" customHeight="false" outlineLevel="0" collapsed="false">
      <c r="B25" s="15" t="s">
        <v>107</v>
      </c>
      <c r="C25" s="20" t="n">
        <f aca="false">IFERROR($C$9/C$23,0)</f>
        <v>1.28863161448565</v>
      </c>
      <c r="D25" s="20" t="n">
        <f aca="false">IFERROR($C$9/D$23,0)</f>
        <v>1.1357359144338</v>
      </c>
      <c r="E25" s="20" t="n">
        <f aca="false">IFERROR($C$9/E$23,0)</f>
        <v>1.01527400159997</v>
      </c>
      <c r="F25" s="20" t="n">
        <f aca="false">IFERROR($C$9/F$23,0)</f>
        <v>0.994184354347966</v>
      </c>
      <c r="G25" s="20" t="n">
        <f aca="false">IFERROR($C$9/G$23,0)</f>
        <v>0.994184354347966</v>
      </c>
      <c r="H25" s="20" t="n">
        <f aca="false">IFERROR($C$9/H$23,0)</f>
        <v>0.994184354347966</v>
      </c>
      <c r="I25" s="5" t="s">
        <v>108</v>
      </c>
    </row>
    <row r="26" customFormat="false" ht="22.35" hidden="false" customHeight="false" outlineLevel="0" collapsed="false">
      <c r="B26" s="8" t="s">
        <v>52</v>
      </c>
      <c r="C26" s="17" t="n">
        <f aca="false">IFERROR($C$9/$C$8,0)</f>
        <v>0.0957218028073883</v>
      </c>
      <c r="D26" s="17" t="n">
        <f aca="false">IFERROR($C$9/$C$8,0)</f>
        <v>0.0957218028073883</v>
      </c>
      <c r="E26" s="17" t="n">
        <f aca="false">IFERROR($C$9/$C$8,0)</f>
        <v>0.0957218028073883</v>
      </c>
      <c r="F26" s="17" t="n">
        <f aca="false">IFERROR($C$9/$C$8,0)</f>
        <v>0.0957218028073883</v>
      </c>
      <c r="G26" s="17" t="n">
        <f aca="false">IFERROR($C$9/$C$8,0)</f>
        <v>0.0957218028073883</v>
      </c>
      <c r="H26" s="17" t="n">
        <f aca="false">IFERROR($C$9/$C$8,0)</f>
        <v>0.0957218028073883</v>
      </c>
      <c r="I26" s="5" t="s">
        <v>109</v>
      </c>
    </row>
    <row r="27" customFormat="false" ht="15" hidden="false" customHeight="false" outlineLevel="0" collapsed="false">
      <c r="B27" s="4" t="s">
        <v>110</v>
      </c>
      <c r="C27" s="4" t="str">
        <f aca="false">IF(C$24&lt;$C$15,"DEFAUT",IF(C$24&lt;$C$14,"Cash sweep","OK"))</f>
        <v>OK</v>
      </c>
      <c r="D27" s="4" t="str">
        <f aca="false">IF(D$24&lt;$C$15,"DEFAUT",IF(D$24&lt;$C$14,"Cash sweep","OK"))</f>
        <v>OK</v>
      </c>
      <c r="E27" s="4" t="str">
        <f aca="false">IF(E$24&lt;$C$15,"DEFAUT",IF(E$24&lt;$C$14,"Cash sweep","OK"))</f>
        <v>Cash sweep</v>
      </c>
      <c r="F27" s="4" t="str">
        <f aca="false">IF(F$24&lt;$C$15,"DEFAUT",IF(F$24&lt;$C$14,"Cash sweep","OK"))</f>
        <v>Cash sweep</v>
      </c>
      <c r="G27" s="4" t="str">
        <f aca="false">IF(G$24&lt;$C$15,"DEFAUT",IF(G$24&lt;$C$14,"Cash sweep","OK"))</f>
        <v>Cash sweep</v>
      </c>
      <c r="H27" s="4" t="str">
        <f aca="false">IF(H$24&lt;$C$15,"DEFAUT",IF(H$24&lt;$C$14,"Cash sweep","OK"))</f>
        <v>Cash sweep</v>
      </c>
    </row>
    <row r="29" customFormat="false" ht="15" hidden="false" customHeight="false" outlineLevel="0" collapsed="false">
      <c r="B29" s="3" t="s">
        <v>111</v>
      </c>
    </row>
    <row r="30" customFormat="false" ht="27.75" hidden="false" customHeight="true" outlineLevel="0" collapsed="false">
      <c r="B30" s="7"/>
      <c r="C30" s="7" t="s">
        <v>23</v>
      </c>
      <c r="I30" s="7" t="s">
        <v>24</v>
      </c>
    </row>
    <row r="31" customFormat="false" ht="22.35" hidden="false" customHeight="false" outlineLevel="0" collapsed="false">
      <c r="B31" s="8" t="s">
        <v>112</v>
      </c>
      <c r="C31" s="17" t="n">
        <f aca="false">IFERROR(MIN($C$12,$C$9/$C$14/$C$8-$C$11),$C$12)</f>
        <v>0.0582363502672941</v>
      </c>
      <c r="I31" s="5" t="s">
        <v>113</v>
      </c>
    </row>
    <row r="32" customFormat="false" ht="15" hidden="false" customHeight="false" outlineLevel="0" collapsed="false">
      <c r="B32" s="8" t="s">
        <v>114</v>
      </c>
      <c r="C32" s="17" t="n">
        <f aca="false">IFERROR(MIN($C$12,$C$9/$C$14/$C$8-$C$11)-$C$10,0)</f>
        <v>0.0152363502672941</v>
      </c>
    </row>
    <row r="33" customFormat="false" ht="32.8" hidden="false" customHeight="false" outlineLevel="0" collapsed="false">
      <c r="B33" s="4" t="s">
        <v>115</v>
      </c>
      <c r="C33" s="4" t="str">
        <f aca="false">IF(IFERROR($C$9/($C$8*($C$12+$C$11)),0)&gt;=$C$14,"Yes — the cap is doing its job","No — the strike is too high")</f>
        <v>No — the strike is too high</v>
      </c>
      <c r="I33" s="5" t="s">
        <v>116</v>
      </c>
    </row>
    <row r="34" customFormat="false" ht="15" hidden="false" customHeight="false" outlineLevel="0" collapsed="false">
      <c r="B34" s="8" t="s">
        <v>117</v>
      </c>
      <c r="C34" s="21" t="n">
        <f aca="false">IFERROR(1-$C$14*$C$8*($C$12+$C$11)/$C$9,0)</f>
        <v>-0.0812583650170384</v>
      </c>
      <c r="I34" s="5" t="s">
        <v>118</v>
      </c>
    </row>
  </sheetData>
  <mergeCells count="1">
    <mergeCell ref="B4:I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K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10" min="3" style="0" width="14"/>
    <col collapsed="false" customWidth="true" hidden="false" outlineLevel="0" max="11" min="11" style="0" width="34"/>
  </cols>
  <sheetData>
    <row r="2" customFormat="false" ht="48.5" hidden="false" customHeight="false" outlineLevel="0" collapsed="false">
      <c r="B2" s="1" t="s">
        <v>119</v>
      </c>
    </row>
    <row r="4" customFormat="false" ht="43.5" hidden="false" customHeight="true" outlineLevel="0" collapsed="false">
      <c r="B4" s="6" t="s">
        <v>120</v>
      </c>
      <c r="C4" s="6"/>
      <c r="D4" s="6"/>
      <c r="E4" s="6"/>
      <c r="F4" s="6"/>
      <c r="G4" s="6"/>
      <c r="H4" s="6"/>
      <c r="I4" s="6"/>
      <c r="J4" s="6"/>
      <c r="K4" s="6"/>
    </row>
    <row r="6" customFormat="false" ht="27.75" hidden="false" customHeight="true" outlineLevel="0" collapsed="false">
      <c r="B6" s="7" t="s">
        <v>82</v>
      </c>
      <c r="C6" s="7" t="s">
        <v>121</v>
      </c>
      <c r="D6" s="7" t="s">
        <v>122</v>
      </c>
      <c r="E6" s="7" t="s">
        <v>123</v>
      </c>
      <c r="F6" s="7" t="s">
        <v>124</v>
      </c>
      <c r="G6" s="7" t="s">
        <v>125</v>
      </c>
      <c r="H6" s="7" t="s">
        <v>126</v>
      </c>
      <c r="I6" s="7" t="s">
        <v>127</v>
      </c>
      <c r="J6" s="7" t="s">
        <v>128</v>
      </c>
      <c r="K6" s="7" t="s">
        <v>129</v>
      </c>
    </row>
    <row r="7" customFormat="false" ht="15" hidden="false" customHeight="false" outlineLevel="0" collapsed="false">
      <c r="B7" s="8" t="s">
        <v>130</v>
      </c>
      <c r="C7" s="9" t="n">
        <v>38000000</v>
      </c>
      <c r="D7" s="11" t="n">
        <v>2027</v>
      </c>
      <c r="E7" s="22" t="s">
        <v>131</v>
      </c>
      <c r="F7" s="22" t="s">
        <v>131</v>
      </c>
      <c r="G7" s="22" t="s">
        <v>132</v>
      </c>
      <c r="H7" s="9" t="n">
        <v>4100000</v>
      </c>
      <c r="I7" s="9" t="n">
        <v>64000000</v>
      </c>
      <c r="J7" s="22" t="s">
        <v>133</v>
      </c>
      <c r="K7" s="4" t="str">
        <f aca="false">IF(IFERROR(C7/I7,1)&lt;=0.55,"1 Clean refi",IF(IFERROR(C7/I7,1)&lt;=0.7,"2 Workable with equity",IF(IFERROR(H7/C7,0)&gt;=0.08,"3 Extension-only","4 Recap or sale")))</f>
        <v>2 Workable with equity</v>
      </c>
    </row>
    <row r="8" customFormat="false" ht="15" hidden="false" customHeight="false" outlineLevel="0" collapsed="false">
      <c r="B8" s="8" t="s">
        <v>134</v>
      </c>
      <c r="C8" s="9" t="n">
        <v>22000000</v>
      </c>
      <c r="D8" s="11" t="n">
        <v>2026</v>
      </c>
      <c r="E8" s="22" t="s">
        <v>131</v>
      </c>
      <c r="F8" s="22" t="s">
        <v>133</v>
      </c>
      <c r="G8" s="22" t="s">
        <v>132</v>
      </c>
      <c r="H8" s="9" t="n">
        <v>2250000</v>
      </c>
      <c r="I8" s="9" t="n">
        <v>31000000</v>
      </c>
      <c r="J8" s="22" t="s">
        <v>131</v>
      </c>
      <c r="K8" s="4" t="str">
        <f aca="false">IF(IFERROR(C8/I8,1)&lt;=0.55,"1 Clean refi",IF(IFERROR(C8/I8,1)&lt;=0.7,"2 Workable with equity",IF(IFERROR(H8/C8,0)&gt;=0.08,"3 Extension-only","4 Recap or sale")))</f>
        <v>3 Extension-only</v>
      </c>
    </row>
    <row r="9" customFormat="false" ht="15" hidden="false" customHeight="false" outlineLevel="0" collapsed="false">
      <c r="B9" s="8" t="s">
        <v>135</v>
      </c>
      <c r="C9" s="9" t="n">
        <v>36000000</v>
      </c>
      <c r="D9" s="11" t="n">
        <v>2026</v>
      </c>
      <c r="E9" s="22" t="s">
        <v>133</v>
      </c>
      <c r="F9" s="22" t="s">
        <v>136</v>
      </c>
      <c r="G9" s="22" t="s">
        <v>137</v>
      </c>
      <c r="H9" s="9" t="n">
        <v>3900000</v>
      </c>
      <c r="I9" s="9" t="n">
        <v>52000000</v>
      </c>
      <c r="J9" s="22" t="s">
        <v>133</v>
      </c>
      <c r="K9" s="4" t="str">
        <f aca="false">IF(IFERROR(C9/I9,1)&lt;=0.55,"1 Clean refi",IF(IFERROR(C9/I9,1)&lt;=0.7,"2 Workable with equity",IF(IFERROR(H9/C9,0)&gt;=0.08,"3 Extension-only","4 Recap or sale")))</f>
        <v>2 Workable with equity</v>
      </c>
    </row>
    <row r="10" customFormat="false" ht="15" hidden="false" customHeight="false" outlineLevel="0" collapsed="false">
      <c r="B10" s="8" t="s">
        <v>138</v>
      </c>
      <c r="C10" s="9" t="n">
        <v>19000000</v>
      </c>
      <c r="D10" s="11" t="n">
        <v>2028</v>
      </c>
      <c r="E10" s="22" t="s">
        <v>131</v>
      </c>
      <c r="F10" s="22" t="s">
        <v>131</v>
      </c>
      <c r="G10" s="22" t="s">
        <v>139</v>
      </c>
      <c r="H10" s="9" t="n">
        <v>2800000</v>
      </c>
      <c r="I10" s="9" t="n">
        <v>38000000</v>
      </c>
      <c r="J10" s="22" t="s">
        <v>131</v>
      </c>
      <c r="K10" s="4" t="str">
        <f aca="false">IF(IFERROR(C10/I10,1)&lt;=0.55,"1 Clean refi",IF(IFERROR(C10/I10,1)&lt;=0.7,"2 Workable with equity",IF(IFERROR(H10/C10,0)&gt;=0.08,"3 Extension-only","4 Recap or sale")))</f>
        <v>1 Clean refi</v>
      </c>
    </row>
    <row r="11" customFormat="false" ht="15" hidden="false" customHeight="false" outlineLevel="0" collapsed="false">
      <c r="B11" s="8" t="s">
        <v>140</v>
      </c>
      <c r="C11" s="9" t="n">
        <v>58000000</v>
      </c>
      <c r="D11" s="11" t="n">
        <v>2026</v>
      </c>
      <c r="E11" s="22" t="s">
        <v>133</v>
      </c>
      <c r="F11" s="22" t="s">
        <v>136</v>
      </c>
      <c r="G11" s="22" t="s">
        <v>141</v>
      </c>
      <c r="H11" s="9" t="n">
        <v>5400000</v>
      </c>
      <c r="I11" s="9" t="n">
        <v>96000000</v>
      </c>
      <c r="J11" s="22" t="s">
        <v>133</v>
      </c>
      <c r="K11" s="4" t="str">
        <f aca="false">IF(IFERROR(C11/I11,1)&lt;=0.55,"1 Clean refi",IF(IFERROR(C11/I11,1)&lt;=0.7,"2 Workable with equity",IF(IFERROR(H11/C11,0)&gt;=0.08,"3 Extension-only","4 Recap or sale")))</f>
        <v>2 Workable with equity</v>
      </c>
    </row>
    <row r="12" customFormat="false" ht="15" hidden="false" customHeight="false" outlineLevel="0" collapsed="false">
      <c r="B12" s="8" t="s">
        <v>142</v>
      </c>
      <c r="C12" s="9" t="n">
        <v>26000000</v>
      </c>
      <c r="D12" s="11" t="n">
        <v>2029</v>
      </c>
      <c r="E12" s="22" t="s">
        <v>133</v>
      </c>
      <c r="F12" s="22" t="s">
        <v>136</v>
      </c>
      <c r="G12" s="22" t="s">
        <v>137</v>
      </c>
      <c r="H12" s="9" t="n">
        <v>3150000</v>
      </c>
      <c r="I12" s="9" t="n">
        <v>49000000</v>
      </c>
      <c r="J12" s="22" t="s">
        <v>133</v>
      </c>
      <c r="K12" s="4" t="str">
        <f aca="false">IF(IFERROR(C12/I12,1)&lt;=0.55,"1 Clean refi",IF(IFERROR(C12/I12,1)&lt;=0.7,"2 Workable with equity",IF(IFERROR(H12/C12,0)&gt;=0.08,"3 Extension-only","4 Recap or sale")))</f>
        <v>1 Clean refi</v>
      </c>
    </row>
    <row r="13" customFormat="false" ht="15" hidden="false" customHeight="false" outlineLevel="0" collapsed="false">
      <c r="B13" s="15" t="s">
        <v>143</v>
      </c>
      <c r="C13" s="16" t="n">
        <f aca="false">SUM(C7:C12)</f>
        <v>199000000</v>
      </c>
      <c r="H13" s="16" t="n">
        <f aca="false">SUM(H7:H12)</f>
        <v>21600000</v>
      </c>
      <c r="I13" s="16" t="n">
        <f aca="false">SUM(I7:I12)</f>
        <v>330000000</v>
      </c>
    </row>
    <row r="15" customFormat="false" ht="15" hidden="false" customHeight="false" outlineLevel="0" collapsed="false">
      <c r="B15" s="3" t="s">
        <v>144</v>
      </c>
    </row>
    <row r="16" customFormat="false" ht="27.75" hidden="false" customHeight="true" outlineLevel="0" collapsed="false">
      <c r="B16" s="7" t="s">
        <v>145</v>
      </c>
      <c r="C16" s="7" t="s">
        <v>146</v>
      </c>
      <c r="D16" s="7" t="s">
        <v>147</v>
      </c>
      <c r="K16" s="7" t="s">
        <v>148</v>
      </c>
    </row>
    <row r="17" customFormat="false" ht="15" hidden="false" customHeight="false" outlineLevel="0" collapsed="false">
      <c r="B17" s="8" t="n">
        <v>2026</v>
      </c>
      <c r="C17" s="14" t="n">
        <f aca="false">SUMIF($D$7:$D$12,B17,$C$7:$C$12)</f>
        <v>116000000</v>
      </c>
      <c r="D17" s="21" t="n">
        <f aca="false">IFERROR(C17/$C$13,0)</f>
        <v>0.582914572864322</v>
      </c>
      <c r="K17" s="4" t="str">
        <f aca="false">IF(D17&gt;$C$24,"Above the policy limit — cluster","")</f>
        <v>Above the policy limit — cluster</v>
      </c>
    </row>
    <row r="18" customFormat="false" ht="15" hidden="false" customHeight="false" outlineLevel="0" collapsed="false">
      <c r="B18" s="8" t="n">
        <v>2027</v>
      </c>
      <c r="C18" s="14" t="n">
        <f aca="false">SUMIF($D$7:$D$12,B18,$C$7:$C$12)</f>
        <v>38000000</v>
      </c>
      <c r="D18" s="21" t="n">
        <f aca="false">IFERROR(C18/$C$13,0)</f>
        <v>0.190954773869347</v>
      </c>
      <c r="K18" s="4" t="str">
        <f aca="false">IF(D18&gt;$C$24,"Above the policy limit — cluster","")</f>
        <v/>
      </c>
    </row>
    <row r="19" customFormat="false" ht="15" hidden="false" customHeight="false" outlineLevel="0" collapsed="false">
      <c r="B19" s="8" t="n">
        <v>2028</v>
      </c>
      <c r="C19" s="14" t="n">
        <f aca="false">SUMIF($D$7:$D$12,B19,$C$7:$C$12)</f>
        <v>19000000</v>
      </c>
      <c r="D19" s="21" t="n">
        <f aca="false">IFERROR(C19/$C$13,0)</f>
        <v>0.0954773869346734</v>
      </c>
      <c r="K19" s="4" t="str">
        <f aca="false">IF(D19&gt;$C$24,"Above the policy limit — cluster","")</f>
        <v/>
      </c>
    </row>
    <row r="20" customFormat="false" ht="15" hidden="false" customHeight="false" outlineLevel="0" collapsed="false">
      <c r="B20" s="8" t="n">
        <v>2029</v>
      </c>
      <c r="C20" s="14" t="n">
        <f aca="false">SUMIF($D$7:$D$12,B20,$C$7:$C$12)</f>
        <v>26000000</v>
      </c>
      <c r="D20" s="21" t="n">
        <f aca="false">IFERROR(C20/$C$13,0)</f>
        <v>0.130653266331658</v>
      </c>
      <c r="K20" s="4" t="str">
        <f aca="false">IF(D20&gt;$C$24,"Above the policy limit — cluster","")</f>
        <v/>
      </c>
    </row>
    <row r="21" customFormat="false" ht="15" hidden="false" customHeight="false" outlineLevel="0" collapsed="false">
      <c r="B21" s="8" t="n">
        <v>2030</v>
      </c>
      <c r="C21" s="14" t="n">
        <f aca="false">SUMIF($D$7:$D$12,B21,$C$7:$C$12)</f>
        <v>0</v>
      </c>
      <c r="D21" s="21" t="n">
        <f aca="false">IFERROR(C21/$C$13,0)</f>
        <v>0</v>
      </c>
      <c r="K21" s="4" t="str">
        <f aca="false">IF(D21&gt;$C$24,"Above the policy limit — cluster","")</f>
        <v/>
      </c>
    </row>
    <row r="22" customFormat="false" ht="15" hidden="false" customHeight="false" outlineLevel="0" collapsed="false">
      <c r="B22" s="8" t="n">
        <v>2031</v>
      </c>
      <c r="C22" s="14" t="n">
        <f aca="false">SUMIF($D$7:$D$12,B22,$C$7:$C$12)</f>
        <v>0</v>
      </c>
      <c r="D22" s="21" t="n">
        <f aca="false">IFERROR(C22/$C$13,0)</f>
        <v>0</v>
      </c>
      <c r="K22" s="4" t="str">
        <f aca="false">IF(D22&gt;$C$24,"Above the policy limit — cluster","")</f>
        <v/>
      </c>
    </row>
    <row r="23" customFormat="false" ht="15" hidden="false" customHeight="false" outlineLevel="0" collapsed="false">
      <c r="B23" s="15" t="s">
        <v>149</v>
      </c>
      <c r="D23" s="23" t="n">
        <f aca="false">MAX(D17:D22)</f>
        <v>0.582914572864322</v>
      </c>
    </row>
    <row r="24" customFormat="false" ht="15" hidden="false" customHeight="false" outlineLevel="0" collapsed="false">
      <c r="B24" s="8" t="s">
        <v>150</v>
      </c>
      <c r="C24" s="12" t="n">
        <v>0.3</v>
      </c>
      <c r="K24" s="5" t="s">
        <v>151</v>
      </c>
    </row>
    <row r="26" customFormat="false" ht="26.85" hidden="false" customHeight="false" outlineLevel="0" collapsed="false">
      <c r="B26" s="3" t="s">
        <v>152</v>
      </c>
    </row>
    <row r="27" customFormat="false" ht="27.75" hidden="false" customHeight="true" outlineLevel="0" collapsed="false">
      <c r="B27" s="7" t="s">
        <v>153</v>
      </c>
      <c r="C27" s="7" t="s">
        <v>23</v>
      </c>
      <c r="K27" s="7" t="s">
        <v>24</v>
      </c>
    </row>
    <row r="28" customFormat="false" ht="15" hidden="false" customHeight="false" outlineLevel="0" collapsed="false">
      <c r="B28" s="8" t="s">
        <v>154</v>
      </c>
      <c r="C28" s="21" t="n">
        <f aca="false">IFERROR(SUMIFS($C$7:$C$12,$E$7:$E$12,"Yes")/$C$13,0)</f>
        <v>0.396984924623116</v>
      </c>
      <c r="K28" s="5" t="s">
        <v>155</v>
      </c>
    </row>
    <row r="29" customFormat="false" ht="22.35" hidden="false" customHeight="false" outlineLevel="0" collapsed="false">
      <c r="B29" s="8" t="s">
        <v>156</v>
      </c>
      <c r="C29" s="21" t="n">
        <f aca="false">IFERROR(SUMIFS($C$7:$C$12,$E$7:$E$12,"Yes",$F$7:$F$12,"Yes")/MAX(1,SUMIFS($C$7:$C$12,$E$7:$E$12,"Yes")),0)</f>
        <v>0.721518987341772</v>
      </c>
      <c r="K29" s="5" t="s">
        <v>157</v>
      </c>
    </row>
    <row r="30" customFormat="false" ht="15" hidden="false" customHeight="false" outlineLevel="0" collapsed="false">
      <c r="B30" s="8" t="s">
        <v>158</v>
      </c>
      <c r="C30" s="14" t="n">
        <f aca="false">SUMIFS($C$7:$C$12,$E$7:$E$12,"Yes",$F$7:$F$12,"No")</f>
        <v>22000000</v>
      </c>
      <c r="K30" s="5"/>
    </row>
    <row r="31" customFormat="false" ht="15" hidden="false" customHeight="false" outlineLevel="0" collapsed="false">
      <c r="B31" s="8" t="s">
        <v>159</v>
      </c>
      <c r="C31" s="14" t="n">
        <f aca="false">SUMIF($D$7:$D$12,"&lt;=2027",$C$7:$C$12)</f>
        <v>154000000</v>
      </c>
      <c r="K31" s="5" t="s">
        <v>160</v>
      </c>
    </row>
    <row r="32" customFormat="false" ht="22.35" hidden="false" customHeight="false" outlineLevel="0" collapsed="false">
      <c r="B32" s="8" t="s">
        <v>161</v>
      </c>
      <c r="C32" s="14" t="n">
        <f aca="false">SUMIFS($C$7:$C$12,$J$7:$J$12,"Yes")</f>
        <v>41000000</v>
      </c>
      <c r="K32" s="5" t="s">
        <v>162</v>
      </c>
    </row>
    <row r="33" customFormat="false" ht="15" hidden="false" customHeight="false" outlineLevel="0" collapsed="false">
      <c r="B33" s="8" t="s">
        <v>163</v>
      </c>
      <c r="C33" s="21" t="n">
        <f aca="false">IFERROR(MAX(SUMIF($G$7:$G$12,$G$7,$C$7:$C$12),SUMIF($G$7:$G$12,$G$8,$C$7:$C$12),SUMIF($G$7:$G$12,$G$9,$C$7:$C$12),SUMIF($G$7:$G$12,$G$10,$C$7:$C$12),SUMIF($G$7:$G$12,$G$11,$C$7:$C$12),SUMIF($G$7:$G$12,$G$12,$C$7:$C$12))/$C$13,0)</f>
        <v>0.311557788944724</v>
      </c>
      <c r="K33" s="5" t="s">
        <v>164</v>
      </c>
    </row>
    <row r="34" customFormat="false" ht="15" hidden="false" customHeight="false" outlineLevel="0" collapsed="false">
      <c r="B34" s="8" t="s">
        <v>165</v>
      </c>
      <c r="C34" s="21" t="n">
        <f aca="false">IFERROR($C$13/$I$13,0)</f>
        <v>0.603030303030303</v>
      </c>
      <c r="K34" s="5"/>
    </row>
    <row r="35" customFormat="false" ht="15" hidden="false" customHeight="false" outlineLevel="0" collapsed="false">
      <c r="B35" s="8" t="s">
        <v>166</v>
      </c>
      <c r="C35" s="17" t="n">
        <f aca="false">IFERROR($H$13/$C$13,0)</f>
        <v>0.108542713567839</v>
      </c>
      <c r="K35" s="5"/>
    </row>
    <row r="36" customFormat="false" ht="22.35" hidden="false" customHeight="false" outlineLevel="0" collapsed="false">
      <c r="B36" s="8" t="s">
        <v>167</v>
      </c>
      <c r="C36" s="24" t="n">
        <f aca="false">COUNTIF($K$7:$K$12,"&lt;&gt;1 Clean refi")</f>
        <v>4</v>
      </c>
      <c r="K36" s="5" t="s">
        <v>168</v>
      </c>
    </row>
  </sheetData>
  <mergeCells count="1">
    <mergeCell ref="B4:K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8"/>
    <col collapsed="false" customWidth="true" hidden="false" outlineLevel="0" max="5" min="3" style="0" width="17"/>
    <col collapsed="false" customWidth="true" hidden="false" outlineLevel="0" max="6" min="6" style="0" width="52"/>
  </cols>
  <sheetData>
    <row r="2" customFormat="false" ht="32.8" hidden="false" customHeight="false" outlineLevel="0" collapsed="false">
      <c r="B2" s="1" t="s">
        <v>169</v>
      </c>
    </row>
    <row r="4" customFormat="false" ht="45.75" hidden="false" customHeight="true" outlineLevel="0" collapsed="false">
      <c r="B4" s="6" t="s">
        <v>170</v>
      </c>
      <c r="C4" s="6"/>
      <c r="D4" s="6"/>
      <c r="E4" s="6"/>
      <c r="F4" s="6"/>
    </row>
    <row r="6" customFormat="false" ht="15" hidden="false" customHeight="false" outlineLevel="0" collapsed="false">
      <c r="B6" s="3" t="s">
        <v>171</v>
      </c>
    </row>
    <row r="7" customFormat="false" ht="27.75" hidden="false" customHeight="true" outlineLevel="0" collapsed="false">
      <c r="B7" s="7"/>
      <c r="C7" s="7" t="s">
        <v>23</v>
      </c>
      <c r="F7" s="7" t="s">
        <v>172</v>
      </c>
    </row>
    <row r="8" customFormat="false" ht="15" hidden="false" customHeight="false" outlineLevel="0" collapsed="false">
      <c r="B8" s="8" t="s">
        <v>83</v>
      </c>
      <c r="C8" s="9" t="n">
        <v>60000000</v>
      </c>
      <c r="F8" s="5" t="s">
        <v>173</v>
      </c>
    </row>
    <row r="9" customFormat="false" ht="15" hidden="false" customHeight="false" outlineLevel="0" collapsed="false">
      <c r="B9" s="8" t="s">
        <v>174</v>
      </c>
      <c r="C9" s="12" t="n">
        <v>0.75</v>
      </c>
      <c r="F9" s="5" t="s">
        <v>175</v>
      </c>
    </row>
    <row r="10" customFormat="false" ht="22.35" hidden="false" customHeight="false" outlineLevel="0" collapsed="false">
      <c r="B10" s="8" t="s">
        <v>176</v>
      </c>
      <c r="C10" s="9" t="n">
        <v>4950000</v>
      </c>
      <c r="F10" s="5" t="s">
        <v>177</v>
      </c>
    </row>
    <row r="11" customFormat="false" ht="15" hidden="false" customHeight="false" outlineLevel="0" collapsed="false">
      <c r="B11" s="15" t="s">
        <v>178</v>
      </c>
      <c r="C11" s="16" t="n">
        <f aca="false">IFERROR($C$8/$C$9,0)</f>
        <v>80000000</v>
      </c>
    </row>
    <row r="12" customFormat="false" ht="15" hidden="false" customHeight="false" outlineLevel="0" collapsed="false">
      <c r="B12" s="8" t="s">
        <v>179</v>
      </c>
      <c r="C12" s="17" t="n">
        <f aca="false">IFERROR($C$10/$C$11,0)</f>
        <v>0.061875</v>
      </c>
    </row>
    <row r="14" customFormat="false" ht="15" hidden="false" customHeight="false" outlineLevel="0" collapsed="false">
      <c r="B14" s="3" t="s">
        <v>180</v>
      </c>
    </row>
    <row r="15" customFormat="false" ht="27.75" hidden="false" customHeight="true" outlineLevel="0" collapsed="false">
      <c r="B15" s="7"/>
      <c r="C15" s="7" t="s">
        <v>23</v>
      </c>
      <c r="F15" s="7" t="s">
        <v>24</v>
      </c>
    </row>
    <row r="16" customFormat="false" ht="22.35" hidden="false" customHeight="false" outlineLevel="0" collapsed="false">
      <c r="B16" s="8" t="s">
        <v>181</v>
      </c>
      <c r="C16" s="9" t="n">
        <v>5280000</v>
      </c>
      <c r="F16" s="5" t="s">
        <v>182</v>
      </c>
    </row>
    <row r="17" customFormat="false" ht="15" hidden="false" customHeight="false" outlineLevel="0" collapsed="false">
      <c r="B17" s="8" t="s">
        <v>183</v>
      </c>
      <c r="C17" s="10" t="n">
        <v>0.0725</v>
      </c>
      <c r="F17" s="5" t="s">
        <v>184</v>
      </c>
    </row>
    <row r="18" customFormat="false" ht="15" hidden="false" customHeight="false" outlineLevel="0" collapsed="false">
      <c r="B18" s="8" t="s">
        <v>185</v>
      </c>
      <c r="C18" s="12" t="n">
        <v>0.7</v>
      </c>
      <c r="F18" s="5" t="s">
        <v>186</v>
      </c>
    </row>
    <row r="19" customFormat="false" ht="22.35" hidden="false" customHeight="false" outlineLevel="0" collapsed="false">
      <c r="B19" s="8" t="s">
        <v>187</v>
      </c>
      <c r="C19" s="10" t="n">
        <v>0.11</v>
      </c>
      <c r="F19" s="5" t="s">
        <v>188</v>
      </c>
    </row>
    <row r="20" customFormat="false" ht="15" hidden="false" customHeight="false" outlineLevel="0" collapsed="false">
      <c r="B20" s="8" t="s">
        <v>189</v>
      </c>
      <c r="C20" s="13" t="n">
        <v>1.3</v>
      </c>
      <c r="F20" s="5"/>
    </row>
    <row r="21" customFormat="false" ht="15" hidden="false" customHeight="false" outlineLevel="0" collapsed="false">
      <c r="B21" s="8" t="s">
        <v>190</v>
      </c>
      <c r="C21" s="10" t="n">
        <v>0.0725</v>
      </c>
      <c r="F21" s="5"/>
    </row>
    <row r="22" customFormat="false" ht="15" hidden="false" customHeight="false" outlineLevel="0" collapsed="false">
      <c r="B22" s="8" t="s">
        <v>191</v>
      </c>
      <c r="C22" s="14" t="n">
        <f aca="false">IFERROR($C$16/$C$17,0)</f>
        <v>72827586.2068966</v>
      </c>
    </row>
    <row r="23" customFormat="false" ht="22.35" hidden="false" customHeight="false" outlineLevel="0" collapsed="false">
      <c r="B23" s="8" t="s">
        <v>192</v>
      </c>
      <c r="C23" s="21" t="n">
        <f aca="false">IFERROR($C$22/$C$11-1,0)</f>
        <v>-0.0896551724137931</v>
      </c>
      <c r="F23" s="5" t="s">
        <v>193</v>
      </c>
    </row>
    <row r="25" customFormat="false" ht="15" hidden="false" customHeight="false" outlineLevel="0" collapsed="false">
      <c r="B25" s="3" t="s">
        <v>194</v>
      </c>
    </row>
    <row r="26" customFormat="false" ht="27.75" hidden="false" customHeight="true" outlineLevel="0" collapsed="false">
      <c r="B26" s="7" t="s">
        <v>34</v>
      </c>
      <c r="C26" s="7" t="s">
        <v>43</v>
      </c>
      <c r="D26" s="7" t="s">
        <v>44</v>
      </c>
      <c r="F26" s="7"/>
    </row>
    <row r="27" customFormat="false" ht="15" hidden="false" customHeight="false" outlineLevel="0" collapsed="false">
      <c r="B27" s="8" t="s">
        <v>46</v>
      </c>
      <c r="C27" s="14" t="n">
        <f aca="false">$C$22*$C$18</f>
        <v>50979310.3448276</v>
      </c>
      <c r="D27" s="4" t="str">
        <f aca="false">IF(C27=MIN($C$27:$C$29),"BINDING","")</f>
        <v/>
      </c>
    </row>
    <row r="28" customFormat="false" ht="15" hidden="false" customHeight="false" outlineLevel="0" collapsed="false">
      <c r="B28" s="8" t="s">
        <v>52</v>
      </c>
      <c r="C28" s="14" t="n">
        <f aca="false">IFERROR($C$16/$C$19,0)</f>
        <v>48000000</v>
      </c>
      <c r="D28" s="4" t="str">
        <f aca="false">IF(C28=MIN($C$27:$C$29),"BINDING","")</f>
        <v>BINDING</v>
      </c>
    </row>
    <row r="29" customFormat="false" ht="15" hidden="false" customHeight="false" outlineLevel="0" collapsed="false">
      <c r="B29" s="8" t="s">
        <v>50</v>
      </c>
      <c r="C29" s="14" t="n">
        <f aca="false">IFERROR($C$16/$C$20/$C$21,0)</f>
        <v>56021220.1591512</v>
      </c>
      <c r="D29" s="4" t="str">
        <f aca="false">IF(C29=MIN($C$27:$C$29),"BINDING","")</f>
        <v/>
      </c>
    </row>
    <row r="30" customFormat="false" ht="15" hidden="false" customHeight="false" outlineLevel="0" collapsed="false">
      <c r="B30" s="15" t="s">
        <v>195</v>
      </c>
      <c r="C30" s="16" t="n">
        <f aca="false">MIN(C27:C29)</f>
        <v>48000000</v>
      </c>
      <c r="F30" s="5" t="s">
        <v>196</v>
      </c>
    </row>
    <row r="31" customFormat="false" ht="15" hidden="false" customHeight="false" outlineLevel="0" collapsed="false">
      <c r="B31" s="15" t="s">
        <v>197</v>
      </c>
      <c r="C31" s="16" t="n">
        <f aca="false">$C$8-$C$30</f>
        <v>12000000</v>
      </c>
      <c r="F31" s="5" t="s">
        <v>198</v>
      </c>
    </row>
    <row r="32" customFormat="false" ht="15" hidden="false" customHeight="false" outlineLevel="0" collapsed="false">
      <c r="B32" s="8" t="s">
        <v>199</v>
      </c>
      <c r="C32" s="21" t="n">
        <f aca="false">IFERROR($C$31/$C$8,0)</f>
        <v>0.2</v>
      </c>
    </row>
    <row r="34" customFormat="false" ht="15" hidden="false" customHeight="false" outlineLevel="0" collapsed="false">
      <c r="B34" s="3" t="s">
        <v>200</v>
      </c>
    </row>
    <row r="35" customFormat="false" ht="30" hidden="false" customHeight="true" outlineLevel="0" collapsed="false">
      <c r="B35" s="6" t="s">
        <v>201</v>
      </c>
      <c r="C35" s="6"/>
      <c r="D35" s="6"/>
      <c r="E35" s="6"/>
      <c r="F35" s="6"/>
    </row>
    <row r="37" customFormat="false" ht="27.75" hidden="false" customHeight="true" outlineLevel="0" collapsed="false">
      <c r="B37" s="7"/>
      <c r="C37" s="7" t="s">
        <v>23</v>
      </c>
      <c r="F37" s="7" t="s">
        <v>24</v>
      </c>
    </row>
    <row r="38" customFormat="false" ht="15" hidden="false" customHeight="false" outlineLevel="0" collapsed="false">
      <c r="B38" s="8" t="s">
        <v>202</v>
      </c>
      <c r="C38" s="9" t="n">
        <v>6000000</v>
      </c>
      <c r="F38" s="5" t="s">
        <v>203</v>
      </c>
    </row>
    <row r="39" customFormat="false" ht="15" hidden="false" customHeight="false" outlineLevel="0" collapsed="false">
      <c r="B39" s="15" t="s">
        <v>204</v>
      </c>
      <c r="C39" s="16" t="n">
        <f aca="false">MAX(0,$C$31-$C$38)</f>
        <v>6000000</v>
      </c>
      <c r="F39" s="5" t="s">
        <v>205</v>
      </c>
    </row>
    <row r="40" customFormat="false" ht="15" hidden="false" customHeight="false" outlineLevel="0" collapsed="false">
      <c r="B40" s="8" t="s">
        <v>206</v>
      </c>
      <c r="C40" s="12" t="n">
        <v>0.13</v>
      </c>
      <c r="F40" s="5" t="s">
        <v>207</v>
      </c>
    </row>
    <row r="41" customFormat="false" ht="15" hidden="false" customHeight="false" outlineLevel="0" collapsed="false">
      <c r="B41" s="8" t="s">
        <v>208</v>
      </c>
      <c r="C41" s="14" t="n">
        <f aca="false">$C$39*$C$40</f>
        <v>780000</v>
      </c>
    </row>
    <row r="42" customFormat="false" ht="15" hidden="false" customHeight="false" outlineLevel="0" collapsed="false">
      <c r="B42" s="8" t="s">
        <v>209</v>
      </c>
      <c r="C42" s="14" t="n">
        <f aca="false">$C$30*$C$21</f>
        <v>3480000</v>
      </c>
    </row>
    <row r="43" customFormat="false" ht="15" hidden="false" customHeight="false" outlineLevel="0" collapsed="false">
      <c r="B43" s="8" t="s">
        <v>210</v>
      </c>
      <c r="C43" s="18" t="n">
        <f aca="false">IFERROR($C$16/$C$42,0)</f>
        <v>1.51724137931035</v>
      </c>
    </row>
    <row r="44" customFormat="false" ht="15" hidden="false" customHeight="false" outlineLevel="0" collapsed="false">
      <c r="B44" s="4" t="s">
        <v>211</v>
      </c>
      <c r="C44" s="25" t="n">
        <f aca="false">IFERROR($C$16/($C$42+$C$39*$C$40),0)</f>
        <v>1.23943661971831</v>
      </c>
      <c r="F44" s="5" t="s">
        <v>212</v>
      </c>
    </row>
    <row r="45" customFormat="false" ht="15" hidden="false" customHeight="false" outlineLevel="0" collapsed="false">
      <c r="B45" s="8" t="s">
        <v>213</v>
      </c>
      <c r="C45" s="14" t="n">
        <f aca="false">$C$30+$C$39</f>
        <v>54000000</v>
      </c>
    </row>
    <row r="46" customFormat="false" ht="22.35" hidden="false" customHeight="false" outlineLevel="0" collapsed="false">
      <c r="B46" s="8" t="s">
        <v>214</v>
      </c>
      <c r="C46" s="21" t="n">
        <f aca="false">IFERROR(($C$30+$C$39)/$C$22,0)</f>
        <v>0.741477272727273</v>
      </c>
      <c r="F46" s="5" t="s">
        <v>215</v>
      </c>
    </row>
    <row r="48" customFormat="false" ht="15" hidden="false" customHeight="false" outlineLevel="0" collapsed="false">
      <c r="B48" s="3" t="s">
        <v>216</v>
      </c>
    </row>
    <row r="49" customFormat="false" ht="27.75" hidden="false" customHeight="true" outlineLevel="0" collapsed="false">
      <c r="B49" s="7" t="s">
        <v>217</v>
      </c>
      <c r="C49" s="7" t="s">
        <v>218</v>
      </c>
      <c r="D49" s="7" t="s">
        <v>219</v>
      </c>
      <c r="E49" s="7" t="s">
        <v>220</v>
      </c>
      <c r="F49" s="7" t="s">
        <v>221</v>
      </c>
    </row>
    <row r="50" customFormat="false" ht="15" hidden="false" customHeight="false" outlineLevel="0" collapsed="false">
      <c r="B50" s="9" t="n">
        <v>0</v>
      </c>
      <c r="C50" s="14" t="n">
        <f aca="false">MAX(0,$C$31-B50)</f>
        <v>12000000</v>
      </c>
      <c r="D50" s="14" t="n">
        <f aca="false">C50*$C$40</f>
        <v>1560000</v>
      </c>
      <c r="E50" s="17" t="n">
        <f aca="false">IFERROR(D50/$C$31,0)</f>
        <v>0.13</v>
      </c>
      <c r="F50" s="8" t="str">
        <f aca="false">IF(B50=0,"All pref: no cash out, highest ongoing cost",IF(B50&gt;=$C$31,"All cash: no pref, but fund liquidity is spent","Blend"))</f>
        <v>All pref: no cash out, highest ongoing cost</v>
      </c>
    </row>
    <row r="51" customFormat="false" ht="15" hidden="false" customHeight="false" outlineLevel="0" collapsed="false">
      <c r="B51" s="9" t="n">
        <v>3000000</v>
      </c>
      <c r="C51" s="14" t="n">
        <f aca="false">MAX(0,$C$31-B51)</f>
        <v>9000000</v>
      </c>
      <c r="D51" s="14" t="n">
        <f aca="false">C51*$C$40</f>
        <v>1170000</v>
      </c>
      <c r="E51" s="17" t="n">
        <f aca="false">IFERROR(D51/$C$31,0)</f>
        <v>0.0975</v>
      </c>
      <c r="F51" s="8" t="str">
        <f aca="false">IF(B51=0,"All pref: no cash out, highest ongoing cost",IF(B51&gt;=$C$31,"All cash: no pref, but fund liquidity is spent","Blend"))</f>
        <v>Blend</v>
      </c>
    </row>
    <row r="52" customFormat="false" ht="15" hidden="false" customHeight="false" outlineLevel="0" collapsed="false">
      <c r="B52" s="9" t="n">
        <v>6000000</v>
      </c>
      <c r="C52" s="14" t="n">
        <f aca="false">MAX(0,$C$31-B52)</f>
        <v>6000000</v>
      </c>
      <c r="D52" s="14" t="n">
        <f aca="false">C52*$C$40</f>
        <v>780000</v>
      </c>
      <c r="E52" s="17" t="n">
        <f aca="false">IFERROR(D52/$C$31,0)</f>
        <v>0.065</v>
      </c>
      <c r="F52" s="8" t="str">
        <f aca="false">IF(B52=0,"All pref: no cash out, highest ongoing cost",IF(B52&gt;=$C$31,"All cash: no pref, but fund liquidity is spent","Blend"))</f>
        <v>Blend</v>
      </c>
    </row>
    <row r="53" customFormat="false" ht="15" hidden="false" customHeight="false" outlineLevel="0" collapsed="false">
      <c r="B53" s="9" t="n">
        <v>9000000</v>
      </c>
      <c r="C53" s="14" t="n">
        <f aca="false">MAX(0,$C$31-B53)</f>
        <v>3000000</v>
      </c>
      <c r="D53" s="14" t="n">
        <f aca="false">C53*$C$40</f>
        <v>390000</v>
      </c>
      <c r="E53" s="17" t="n">
        <f aca="false">IFERROR(D53/$C$31,0)</f>
        <v>0.0325</v>
      </c>
      <c r="F53" s="8" t="str">
        <f aca="false">IF(B53=0,"All pref: no cash out, highest ongoing cost",IF(B53&gt;=$C$31,"All cash: no pref, but fund liquidity is spent","Blend"))</f>
        <v>Blend</v>
      </c>
    </row>
    <row r="54" customFormat="false" ht="15" hidden="false" customHeight="false" outlineLevel="0" collapsed="false">
      <c r="B54" s="9" t="n">
        <v>12000000</v>
      </c>
      <c r="C54" s="14" t="n">
        <f aca="false">MAX(0,$C$31-B54)</f>
        <v>0</v>
      </c>
      <c r="D54" s="14" t="n">
        <f aca="false">C54*$C$40</f>
        <v>0</v>
      </c>
      <c r="E54" s="17" t="n">
        <f aca="false">IFERROR(D54/$C$31,0)</f>
        <v>0</v>
      </c>
      <c r="F54" s="8" t="str">
        <f aca="false">IF(B54=0,"All pref: no cash out, highest ongoing cost",IF(B54&gt;=$C$31,"All cash: no pref, but fund liquidity is spent","Blend"))</f>
        <v>All cash: no pref, but fund liquidity is spent</v>
      </c>
    </row>
    <row r="56" customFormat="false" ht="30" hidden="false" customHeight="true" outlineLevel="0" collapsed="false">
      <c r="B56" s="6" t="s">
        <v>222</v>
      </c>
      <c r="C56" s="6"/>
      <c r="D56" s="6"/>
      <c r="E56" s="6"/>
      <c r="F56" s="6"/>
    </row>
  </sheetData>
  <mergeCells count="3">
    <mergeCell ref="B4:F4"/>
    <mergeCell ref="B35:F35"/>
    <mergeCell ref="B56:F5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6"/>
    <col collapsed="false" customWidth="true" hidden="false" outlineLevel="0" max="3" min="3" style="0" width="82"/>
    <col collapsed="false" customWidth="true" hidden="false" outlineLevel="0" max="6" min="4" style="0" width="17"/>
  </cols>
  <sheetData>
    <row r="2" customFormat="false" ht="158.2" hidden="false" customHeight="false" outlineLevel="0" collapsed="false">
      <c r="B2" s="1" t="s">
        <v>223</v>
      </c>
    </row>
    <row r="4" customFormat="false" ht="31.5" hidden="false" customHeight="true" outlineLevel="0" collapsed="false">
      <c r="B4" s="6" t="s">
        <v>224</v>
      </c>
      <c r="C4" s="6"/>
      <c r="D4" s="6"/>
      <c r="E4" s="6"/>
      <c r="F4" s="6"/>
    </row>
    <row r="6" customFormat="false" ht="27.75" hidden="false" customHeight="true" outlineLevel="0" collapsed="false">
      <c r="B6" s="7" t="s">
        <v>225</v>
      </c>
      <c r="C6" s="7" t="s">
        <v>226</v>
      </c>
      <c r="D6" s="7" t="s">
        <v>227</v>
      </c>
      <c r="E6" s="7" t="s">
        <v>110</v>
      </c>
      <c r="F6" s="7" t="s">
        <v>228</v>
      </c>
    </row>
    <row r="7" customFormat="false" ht="15" hidden="false" customHeight="false" outlineLevel="0" collapsed="false">
      <c r="B7" s="26" t="s">
        <v>229</v>
      </c>
      <c r="C7" s="26"/>
      <c r="D7" s="26"/>
      <c r="E7" s="26"/>
      <c r="F7" s="26"/>
    </row>
    <row r="8" customFormat="false" ht="15" hidden="false" customHeight="false" outlineLevel="0" collapsed="false">
      <c r="B8" s="27" t="n">
        <v>1</v>
      </c>
      <c r="C8" s="2" t="s">
        <v>230</v>
      </c>
      <c r="D8" s="27" t="s">
        <v>231</v>
      </c>
      <c r="E8" s="22" t="s">
        <v>232</v>
      </c>
      <c r="F8" s="28"/>
    </row>
    <row r="9" customFormat="false" ht="15" hidden="false" customHeight="false" outlineLevel="0" collapsed="false">
      <c r="B9" s="27" t="n">
        <v>2</v>
      </c>
      <c r="C9" s="2" t="s">
        <v>233</v>
      </c>
      <c r="D9" s="27" t="s">
        <v>231</v>
      </c>
      <c r="E9" s="22" t="s">
        <v>232</v>
      </c>
      <c r="F9" s="28"/>
    </row>
    <row r="10" customFormat="false" ht="15" hidden="false" customHeight="false" outlineLevel="0" collapsed="false">
      <c r="B10" s="27" t="n">
        <v>3</v>
      </c>
      <c r="C10" s="2" t="s">
        <v>234</v>
      </c>
      <c r="D10" s="27" t="s">
        <v>231</v>
      </c>
      <c r="E10" s="22" t="s">
        <v>232</v>
      </c>
      <c r="F10" s="28"/>
    </row>
    <row r="11" customFormat="false" ht="15" hidden="false" customHeight="false" outlineLevel="0" collapsed="false">
      <c r="B11" s="27" t="n">
        <v>4</v>
      </c>
      <c r="C11" s="2" t="s">
        <v>235</v>
      </c>
      <c r="D11" s="27" t="s">
        <v>231</v>
      </c>
      <c r="E11" s="22" t="s">
        <v>232</v>
      </c>
      <c r="F11" s="28"/>
    </row>
    <row r="12" customFormat="false" ht="15" hidden="false" customHeight="false" outlineLevel="0" collapsed="false">
      <c r="B12" s="27" t="n">
        <v>5</v>
      </c>
      <c r="C12" s="2" t="s">
        <v>236</v>
      </c>
      <c r="D12" s="27" t="s">
        <v>231</v>
      </c>
      <c r="E12" s="22" t="s">
        <v>232</v>
      </c>
      <c r="F12" s="28"/>
    </row>
    <row r="13" customFormat="false" ht="15" hidden="false" customHeight="false" outlineLevel="0" collapsed="false">
      <c r="B13" s="26" t="s">
        <v>237</v>
      </c>
      <c r="C13" s="26"/>
      <c r="D13" s="26"/>
      <c r="E13" s="26"/>
      <c r="F13" s="26"/>
    </row>
    <row r="14" customFormat="false" ht="15" hidden="false" customHeight="false" outlineLevel="0" collapsed="false">
      <c r="B14" s="27" t="n">
        <v>6</v>
      </c>
      <c r="C14" s="2" t="s">
        <v>238</v>
      </c>
      <c r="D14" s="27" t="s">
        <v>239</v>
      </c>
      <c r="E14" s="22" t="s">
        <v>232</v>
      </c>
      <c r="F14" s="28"/>
    </row>
    <row r="15" customFormat="false" ht="15" hidden="false" customHeight="false" outlineLevel="0" collapsed="false">
      <c r="B15" s="27" t="n">
        <v>7</v>
      </c>
      <c r="C15" s="2" t="s">
        <v>240</v>
      </c>
      <c r="D15" s="27" t="s">
        <v>239</v>
      </c>
      <c r="E15" s="22" t="s">
        <v>232</v>
      </c>
      <c r="F15" s="28"/>
    </row>
    <row r="16" customFormat="false" ht="15" hidden="false" customHeight="false" outlineLevel="0" collapsed="false">
      <c r="B16" s="27" t="n">
        <v>8</v>
      </c>
      <c r="C16" s="2" t="s">
        <v>241</v>
      </c>
      <c r="D16" s="27" t="s">
        <v>239</v>
      </c>
      <c r="E16" s="22" t="s">
        <v>232</v>
      </c>
      <c r="F16" s="28"/>
    </row>
    <row r="17" customFormat="false" ht="15" hidden="false" customHeight="false" outlineLevel="0" collapsed="false">
      <c r="B17" s="27" t="n">
        <v>9</v>
      </c>
      <c r="C17" s="2" t="s">
        <v>242</v>
      </c>
      <c r="D17" s="27" t="s">
        <v>239</v>
      </c>
      <c r="E17" s="22" t="s">
        <v>232</v>
      </c>
      <c r="F17" s="28"/>
    </row>
    <row r="18" customFormat="false" ht="15" hidden="false" customHeight="false" outlineLevel="0" collapsed="false">
      <c r="B18" s="27" t="n">
        <v>10</v>
      </c>
      <c r="C18" s="2" t="s">
        <v>243</v>
      </c>
      <c r="D18" s="27" t="s">
        <v>239</v>
      </c>
      <c r="E18" s="22" t="s">
        <v>232</v>
      </c>
      <c r="F18" s="28"/>
    </row>
    <row r="19" customFormat="false" ht="15" hidden="false" customHeight="false" outlineLevel="0" collapsed="false">
      <c r="B19" s="26" t="s">
        <v>244</v>
      </c>
      <c r="C19" s="26"/>
      <c r="D19" s="26"/>
      <c r="E19" s="26"/>
      <c r="F19" s="26"/>
    </row>
    <row r="20" customFormat="false" ht="15" hidden="false" customHeight="false" outlineLevel="0" collapsed="false">
      <c r="B20" s="27" t="n">
        <v>11</v>
      </c>
      <c r="C20" s="2" t="s">
        <v>245</v>
      </c>
      <c r="D20" s="27" t="s">
        <v>246</v>
      </c>
      <c r="E20" s="22" t="s">
        <v>232</v>
      </c>
      <c r="F20" s="28"/>
    </row>
    <row r="21" customFormat="false" ht="15" hidden="false" customHeight="false" outlineLevel="0" collapsed="false">
      <c r="B21" s="27" t="n">
        <v>12</v>
      </c>
      <c r="C21" s="2" t="s">
        <v>247</v>
      </c>
      <c r="D21" s="27" t="s">
        <v>246</v>
      </c>
      <c r="E21" s="22" t="s">
        <v>232</v>
      </c>
      <c r="F21" s="28"/>
    </row>
    <row r="22" customFormat="false" ht="15" hidden="false" customHeight="false" outlineLevel="0" collapsed="false">
      <c r="B22" s="27" t="n">
        <v>13</v>
      </c>
      <c r="C22" s="2" t="s">
        <v>248</v>
      </c>
      <c r="D22" s="27" t="s">
        <v>246</v>
      </c>
      <c r="E22" s="22" t="s">
        <v>232</v>
      </c>
      <c r="F22" s="28"/>
    </row>
    <row r="23" customFormat="false" ht="15" hidden="false" customHeight="false" outlineLevel="0" collapsed="false">
      <c r="B23" s="26" t="s">
        <v>249</v>
      </c>
      <c r="C23" s="26"/>
      <c r="D23" s="26"/>
      <c r="E23" s="26"/>
      <c r="F23" s="26"/>
    </row>
    <row r="24" customFormat="false" ht="15" hidden="false" customHeight="false" outlineLevel="0" collapsed="false">
      <c r="B24" s="27" t="n">
        <v>14</v>
      </c>
      <c r="C24" s="2" t="s">
        <v>250</v>
      </c>
      <c r="D24" s="27" t="s">
        <v>246</v>
      </c>
      <c r="E24" s="22" t="s">
        <v>232</v>
      </c>
      <c r="F24" s="28"/>
    </row>
    <row r="25" customFormat="false" ht="15" hidden="false" customHeight="false" outlineLevel="0" collapsed="false">
      <c r="B25" s="27" t="n">
        <v>15</v>
      </c>
      <c r="C25" s="2" t="s">
        <v>251</v>
      </c>
      <c r="D25" s="27" t="s">
        <v>246</v>
      </c>
      <c r="E25" s="22" t="s">
        <v>232</v>
      </c>
      <c r="F25" s="28"/>
    </row>
    <row r="26" customFormat="false" ht="15" hidden="false" customHeight="false" outlineLevel="0" collapsed="false">
      <c r="B26" s="27" t="n">
        <v>16</v>
      </c>
      <c r="C26" s="2" t="s">
        <v>252</v>
      </c>
      <c r="D26" s="27" t="s">
        <v>246</v>
      </c>
      <c r="E26" s="22" t="s">
        <v>232</v>
      </c>
      <c r="F26" s="28"/>
    </row>
    <row r="27" customFormat="false" ht="15" hidden="false" customHeight="false" outlineLevel="0" collapsed="false">
      <c r="B27" s="27" t="n">
        <v>17</v>
      </c>
      <c r="C27" s="2" t="s">
        <v>253</v>
      </c>
      <c r="D27" s="27" t="s">
        <v>246</v>
      </c>
      <c r="E27" s="22" t="s">
        <v>232</v>
      </c>
      <c r="F27" s="28"/>
    </row>
    <row r="28" customFormat="false" ht="15" hidden="false" customHeight="false" outlineLevel="0" collapsed="false">
      <c r="B28" s="27" t="n">
        <v>18</v>
      </c>
      <c r="C28" s="2" t="s">
        <v>254</v>
      </c>
      <c r="D28" s="27" t="s">
        <v>246</v>
      </c>
      <c r="E28" s="22" t="s">
        <v>232</v>
      </c>
      <c r="F28" s="28"/>
    </row>
    <row r="30" customFormat="false" ht="85.05" hidden="false" customHeight="false" outlineLevel="0" collapsed="false">
      <c r="B30" s="5" t="s">
        <v>255</v>
      </c>
    </row>
    <row r="32" customFormat="false" ht="27.75" hidden="false" customHeight="true" outlineLevel="0" collapsed="false">
      <c r="C32" s="7" t="s">
        <v>256</v>
      </c>
      <c r="D32" s="7" t="s">
        <v>257</v>
      </c>
      <c r="F32" s="7"/>
    </row>
    <row r="33" customFormat="false" ht="15" hidden="false" customHeight="false" outlineLevel="0" collapsed="false">
      <c r="C33" s="8" t="s">
        <v>258</v>
      </c>
      <c r="D33" s="24" t="n">
        <f aca="false">COUNTIF($E$8:$E$28,"Done")</f>
        <v>0</v>
      </c>
    </row>
    <row r="34" customFormat="false" ht="15" hidden="false" customHeight="false" outlineLevel="0" collapsed="false">
      <c r="C34" s="8" t="s">
        <v>259</v>
      </c>
      <c r="D34" s="24" t="n">
        <f aca="false">COUNTIF($E$8:$E$28,"In progress")</f>
        <v>0</v>
      </c>
    </row>
    <row r="35" customFormat="false" ht="15" hidden="false" customHeight="false" outlineLevel="0" collapsed="false">
      <c r="C35" s="8" t="s">
        <v>232</v>
      </c>
      <c r="D35" s="24" t="n">
        <f aca="false">COUNTIF($E$8:$E$28,"Open")</f>
        <v>18</v>
      </c>
    </row>
    <row r="36" customFormat="false" ht="15" hidden="false" customHeight="false" outlineLevel="0" collapsed="false">
      <c r="C36" s="8" t="s">
        <v>260</v>
      </c>
      <c r="D36" s="21" t="n">
        <f aca="false">IFERROR(COUNTIF($E$8:$E$28,"Done")/MAX(1,28-8+1-COUNTIF($E$8:$E$28,"N/A")),0)</f>
        <v>0</v>
      </c>
    </row>
  </sheetData>
  <mergeCells count="5">
    <mergeCell ref="B4:F4"/>
    <mergeCell ref="B7:F7"/>
    <mergeCell ref="B13:F13"/>
    <mergeCell ref="B19:F19"/>
    <mergeCell ref="B23:F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4"/>
    <col collapsed="false" customWidth="true" hidden="false" outlineLevel="0" max="4" min="3" style="0" width="18"/>
    <col collapsed="false" customWidth="true" hidden="false" outlineLevel="0" max="5" min="5" style="0" width="11"/>
    <col collapsed="false" customWidth="true" hidden="false" outlineLevel="0" max="6" min="6" style="0" width="46"/>
  </cols>
  <sheetData>
    <row r="2" customFormat="false" ht="17.35" hidden="false" customHeight="false" outlineLevel="0" collapsed="false">
      <c r="B2" s="1" t="s">
        <v>15</v>
      </c>
    </row>
    <row r="4" customFormat="false" ht="15" hidden="false" customHeight="true" outlineLevel="0" collapsed="false">
      <c r="B4" s="6" t="s">
        <v>261</v>
      </c>
      <c r="C4" s="6"/>
      <c r="D4" s="6"/>
      <c r="E4" s="6"/>
      <c r="F4" s="6"/>
    </row>
    <row r="6" customFormat="false" ht="27.75" hidden="false" customHeight="true" outlineLevel="0" collapsed="false">
      <c r="B6" s="7" t="s">
        <v>34</v>
      </c>
      <c r="C6" s="7" t="s">
        <v>262</v>
      </c>
      <c r="D6" s="7" t="s">
        <v>263</v>
      </c>
      <c r="E6" s="7" t="s">
        <v>110</v>
      </c>
      <c r="F6" s="7" t="s">
        <v>172</v>
      </c>
    </row>
    <row r="7" customFormat="false" ht="15" hidden="false" customHeight="false" outlineLevel="0" collapsed="false">
      <c r="B7" s="8" t="s">
        <v>264</v>
      </c>
      <c r="C7" s="14" t="n">
        <v>60000000</v>
      </c>
      <c r="D7" s="14" t="n">
        <f aca="false">'Stressed Refi'!$C$8</f>
        <v>60000000</v>
      </c>
      <c r="E7" s="29" t="str">
        <f aca="false">IF(ABS(D7-C7)&lt;=1,"OK","ECART")</f>
        <v>OK</v>
      </c>
      <c r="F7" s="5" t="s">
        <v>173</v>
      </c>
    </row>
    <row r="8" customFormat="false" ht="15" hidden="false" customHeight="false" outlineLevel="0" collapsed="false">
      <c r="B8" s="8" t="s">
        <v>265</v>
      </c>
      <c r="C8" s="21" t="n">
        <v>0.75</v>
      </c>
      <c r="D8" s="21" t="n">
        <f aca="false">'Stressed Refi'!$C$9</f>
        <v>0.75</v>
      </c>
      <c r="E8" s="29" t="str">
        <f aca="false">IF(ABS(D8-C8)&lt;=0.00005,"OK","ECART")</f>
        <v>OK</v>
      </c>
      <c r="F8" s="5" t="s">
        <v>175</v>
      </c>
    </row>
    <row r="9" customFormat="false" ht="15" hidden="false" customHeight="false" outlineLevel="0" collapsed="false">
      <c r="B9" s="8" t="s">
        <v>178</v>
      </c>
      <c r="C9" s="14" t="n">
        <v>80000000</v>
      </c>
      <c r="D9" s="14" t="n">
        <f aca="false">'Stressed Refi'!$C$11</f>
        <v>80000000</v>
      </c>
      <c r="E9" s="29" t="str">
        <f aca="false">IF(ABS(D9-C9)&lt;=1,"OK","ECART")</f>
        <v>OK</v>
      </c>
      <c r="F9" s="5" t="s">
        <v>266</v>
      </c>
    </row>
    <row r="10" customFormat="false" ht="15" hidden="false" customHeight="false" outlineLevel="0" collapsed="false">
      <c r="B10" s="8" t="s">
        <v>267</v>
      </c>
      <c r="C10" s="14" t="n">
        <v>48000000</v>
      </c>
      <c r="D10" s="14" t="n">
        <f aca="false">'Stressed Refi'!$C$30</f>
        <v>48000000</v>
      </c>
      <c r="E10" s="29" t="str">
        <f aca="false">IF(ABS(D10-C10)&lt;=1,"OK","ECART")</f>
        <v>OK</v>
      </c>
      <c r="F10" s="5" t="s">
        <v>268</v>
      </c>
    </row>
    <row r="11" customFormat="false" ht="15" hidden="false" customHeight="false" outlineLevel="0" collapsed="false">
      <c r="B11" s="8" t="s">
        <v>197</v>
      </c>
      <c r="C11" s="14" t="n">
        <v>12000000</v>
      </c>
      <c r="D11" s="14" t="n">
        <f aca="false">'Stressed Refi'!$C$31</f>
        <v>12000000</v>
      </c>
      <c r="E11" s="29" t="str">
        <f aca="false">IF(ABS(D11-C11)&lt;=1,"OK","ECART")</f>
        <v>OK</v>
      </c>
      <c r="F11" s="5" t="s">
        <v>269</v>
      </c>
    </row>
    <row r="12" customFormat="false" ht="15" hidden="false" customHeight="false" outlineLevel="0" collapsed="false">
      <c r="B12" s="8" t="s">
        <v>202</v>
      </c>
      <c r="C12" s="14" t="n">
        <v>6000000</v>
      </c>
      <c r="D12" s="14" t="n">
        <f aca="false">'Stressed Refi'!$C$38</f>
        <v>6000000</v>
      </c>
      <c r="E12" s="29" t="str">
        <f aca="false">IF(ABS(D12-C12)&lt;=1,"OK","ECART")</f>
        <v>OK</v>
      </c>
      <c r="F12" s="5" t="s">
        <v>203</v>
      </c>
    </row>
    <row r="13" customFormat="false" ht="15" hidden="false" customHeight="false" outlineLevel="0" collapsed="false">
      <c r="B13" s="8" t="s">
        <v>270</v>
      </c>
      <c r="C13" s="14" t="n">
        <v>6000000</v>
      </c>
      <c r="D13" s="14" t="n">
        <f aca="false">'Stressed Refi'!$C$39</f>
        <v>6000000</v>
      </c>
      <c r="E13" s="29" t="str">
        <f aca="false">IF(ABS(D13-C13)&lt;=1,"OK","ECART")</f>
        <v>OK</v>
      </c>
      <c r="F13" s="5" t="s">
        <v>271</v>
      </c>
    </row>
    <row r="14" customFormat="false" ht="15" hidden="false" customHeight="false" outlineLevel="0" collapsed="false">
      <c r="B14" s="8" t="s">
        <v>272</v>
      </c>
      <c r="C14" s="14" t="n">
        <v>12000000</v>
      </c>
      <c r="D14" s="14" t="n">
        <f aca="false">'Stressed Refi'!$C$38+'Stressed Refi'!$C$39</f>
        <v>12000000</v>
      </c>
      <c r="E14" s="29" t="str">
        <f aca="false">IF(ABS(D14-C14)&lt;=1,"OK","ECART")</f>
        <v>OK</v>
      </c>
      <c r="F14" s="5" t="s">
        <v>273</v>
      </c>
    </row>
    <row r="16" customFormat="false" ht="15" hidden="false" customHeight="false" outlineLevel="0" collapsed="false">
      <c r="B16" s="3" t="s">
        <v>274</v>
      </c>
    </row>
    <row r="17" customFormat="false" ht="27.75" hidden="false" customHeight="true" outlineLevel="0" collapsed="false">
      <c r="B17" s="7" t="s">
        <v>34</v>
      </c>
      <c r="C17" s="7" t="s">
        <v>262</v>
      </c>
      <c r="D17" s="7" t="s">
        <v>263</v>
      </c>
      <c r="E17" s="7" t="s">
        <v>110</v>
      </c>
      <c r="F17" s="7" t="s">
        <v>24</v>
      </c>
    </row>
    <row r="18" customFormat="false" ht="15" hidden="false" customHeight="false" outlineLevel="0" collapsed="false">
      <c r="B18" s="8" t="s">
        <v>275</v>
      </c>
      <c r="C18" s="14" t="n">
        <f aca="false">MIN('Loan Sizing'!$C$23:$C$26)</f>
        <v>66860420.6387348</v>
      </c>
      <c r="D18" s="14" t="n">
        <f aca="false">'Loan Sizing'!$C$27</f>
        <v>66860420.6387348</v>
      </c>
      <c r="E18" s="29" t="str">
        <f aca="false">IF(ABS(D18-C18)&lt;=1,"OK","ECART")</f>
        <v>OK</v>
      </c>
      <c r="F18" s="5" t="s">
        <v>276</v>
      </c>
    </row>
    <row r="19" customFormat="false" ht="15" hidden="false" customHeight="false" outlineLevel="0" collapsed="false">
      <c r="B19" s="8" t="s">
        <v>277</v>
      </c>
      <c r="C19" s="24" t="n">
        <v>1</v>
      </c>
      <c r="D19" s="24" t="n">
        <f aca="false">COUNTIF('Loan Sizing'!$D$23:$D$26,"BINDING")</f>
        <v>1</v>
      </c>
      <c r="E19" s="29" t="str">
        <f aca="false">IF(ABS(D19-C19)&lt;=0.0001,"OK","ECART")</f>
        <v>OK</v>
      </c>
      <c r="F19" s="5"/>
    </row>
    <row r="20" customFormat="false" ht="15" hidden="false" customHeight="false" outlineLevel="0" collapsed="false">
      <c r="B20" s="8" t="s">
        <v>278</v>
      </c>
      <c r="C20" s="24" t="n">
        <v>1</v>
      </c>
      <c r="D20" s="24" t="n">
        <f aca="false">IF('Loan Sizing'!$C$37&gt;='Loan Sizing'!$C$18-0.001,1,0)</f>
        <v>1</v>
      </c>
      <c r="E20" s="29" t="str">
        <f aca="false">IF(ABS(D20-C20)&lt;=0.0001,"OK","ECART")</f>
        <v>OK</v>
      </c>
      <c r="F20" s="5"/>
    </row>
    <row r="21" customFormat="false" ht="15" hidden="false" customHeight="false" outlineLevel="0" collapsed="false">
      <c r="B21" s="8" t="s">
        <v>279</v>
      </c>
      <c r="C21" s="24" t="n">
        <v>1</v>
      </c>
      <c r="D21" s="24" t="n">
        <f aca="false">IF('Loan Sizing'!$C$38&gt;='Loan Sizing'!$C$19-0.0001,1,0)</f>
        <v>1</v>
      </c>
      <c r="E21" s="29" t="str">
        <f aca="false">IF(ABS(D21-C21)&lt;=0.0001,"OK","ECART")</f>
        <v>OK</v>
      </c>
      <c r="F21" s="5"/>
    </row>
    <row r="22" customFormat="false" ht="15" hidden="false" customHeight="false" outlineLevel="0" collapsed="false">
      <c r="B22" s="8" t="s">
        <v>280</v>
      </c>
      <c r="C22" s="17" t="n">
        <f aca="false">'Rate Shock'!$C$12</f>
        <v>0.065</v>
      </c>
      <c r="D22" s="17" t="n">
        <f aca="false">MIN('Rate Shock'!$H$20,'Rate Shock'!$C$12)</f>
        <v>0.065</v>
      </c>
      <c r="E22" s="29" t="str">
        <f aca="false">IF(ABS(D22-C22)&lt;=0.00001,"OK","ECART")</f>
        <v>OK</v>
      </c>
      <c r="F22" s="5" t="s">
        <v>281</v>
      </c>
    </row>
    <row r="23" customFormat="false" ht="15" hidden="false" customHeight="false" outlineLevel="0" collapsed="false">
      <c r="B23" s="8" t="s">
        <v>282</v>
      </c>
      <c r="C23" s="14" t="n">
        <f aca="false">'Maturity Ladder'!$C$13</f>
        <v>199000000</v>
      </c>
      <c r="D23" s="14" t="n">
        <f aca="false">SUM('Maturity Ladder'!$C$17:$C$22)</f>
        <v>199000000</v>
      </c>
      <c r="E23" s="29" t="str">
        <f aca="false">IF(ABS(D23-C23)&lt;=1,"OK","ECART")</f>
        <v>OK</v>
      </c>
      <c r="F23" s="5" t="s">
        <v>283</v>
      </c>
    </row>
    <row r="24" customFormat="false" ht="15" hidden="false" customHeight="false" outlineLevel="0" collapsed="false">
      <c r="B24" s="8" t="s">
        <v>284</v>
      </c>
      <c r="C24" s="14" t="n">
        <f aca="false">'Stressed Refi'!$C$31-'Stressed Refi'!$C$38</f>
        <v>6000000</v>
      </c>
      <c r="D24" s="14" t="n">
        <f aca="false">'Stressed Refi'!$C$39</f>
        <v>6000000</v>
      </c>
      <c r="E24" s="29" t="str">
        <f aca="false">IF(ABS(D24-C24)&lt;=1,"OK","ECART")</f>
        <v>OK</v>
      </c>
      <c r="F24" s="5"/>
    </row>
    <row r="27" customFormat="false" ht="15" hidden="false" customHeight="false" outlineLevel="0" collapsed="false">
      <c r="B27" s="4" t="s">
        <v>285</v>
      </c>
      <c r="D27" s="30" t="str">
        <f aca="false">IF(COUNTIF(E7:E14,"OK")+COUNTIF(E18:E24,"OK")=8+7,"TOUT CONCORDE","VERIFIER")</f>
        <v>TOUT CONCORDE</v>
      </c>
    </row>
  </sheetData>
  <mergeCells count="1">
    <mergeCell ref="B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2026-08-12T19:19:14Z</dcterms:created>
  <dc:creator>openpyxl</dc:creator>
  <dc:description/>
  <dc:language>en-US</dc:language>
  <cp:lastModifiedBy/>
  <dcterms:modified xsi:type="dcterms:W3CDTF">2026-08-12T19:19:14Z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