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Budget" sheetId="2" state="visible" r:id="rId4"/>
    <sheet name="Variance" sheetId="3" state="visible" r:id="rId5"/>
    <sheet name="Quarterly Close" sheetId="4" state="visible" r:id="rId6"/>
    <sheet name="Risk Register" sheetId="5" state="visible" r:id="rId7"/>
    <sheet name="90-Day Toolkit" sheetId="6" state="visible" r:id="rId8"/>
    <sheet name="Next Fund Readiness" sheetId="7" state="visible" r:id="rId9"/>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<sst xmlns="http://schemas.openxmlformats.org/spreadsheetml/2006/main" count="462" uniqueCount="353">
  <si>
    <t xml:space="preserve">Real Estate Fund Management — Asset Management and Fund Operations</t>
  </si>
  <si>
    <t xml:space="preserve">Companion workbook to Chapters 11, 12, 13 and 14 of "Real Estate Fund Management" by Julian R. Sterling. Free, ungated, and yours to reuse.</t>
  </si>
  <si>
    <t xml:space="preserve">Sheets</t>
  </si>
  <si>
    <t xml:space="preserve">Budget</t>
  </si>
  <si>
    <t xml:space="preserve">      Driver-based, built from the rent roll up rather than from last year down — the first of the four budgeting principles in 11.2. In-place operations are separated from value creation, as the second principle requires.</t>
  </si>
  <si>
    <t xml:space="preserve">Variance</t>
  </si>
  <si>
    <t xml:space="preserve">      Actual against budget with the five-way taxonomy from 11.3 — timing, volume, rate, mix, structural — and the flag threshold that section proposes: $10,000 or 3% of the line. Every flagged line demands the three lines: what happened, why, what we will do.</t>
  </si>
  <si>
    <t xml:space="preserve">Quarterly Close</t>
  </si>
  <si>
    <t xml:space="preserve">      The twelve-step close from Chapter 12, with owners, dates and the QA tests that section lists separately.</t>
  </si>
  <si>
    <t xml:space="preserve">Risk Register</t>
  </si>
  <si>
    <t xml:space="preserve">      The top-15 risk register that is item 1 of the 90-day toolkit in 13.13, with owner, KPI, likelihood, impact and mitigation.</t>
  </si>
  <si>
    <t xml:space="preserve">90-Day Toolkit</t>
  </si>
  <si>
    <t xml:space="preserve">      The eight items of 13.13, sequenced. "None of these items requires perfection. They require consistency."</t>
  </si>
  <si>
    <t xml:space="preserve">Next Fund Readiness</t>
  </si>
  <si>
    <t xml:space="preserve">      The four families of metric in 14.12, scored, with the decisive indicator handled separately because it is a judgement rather than a number.</t>
  </si>
  <si>
    <t xml:space="preserve">Blue on yellow is an input. Black is a formula. Nothing here is a template you have to trust blindly — clear the input grid and every output goes to zero rather than to an error.</t>
  </si>
  <si>
    <t xml:space="preserve">Source: Real Estate Fund Management, Chapters 11 to 14. All figures in US dollars.</t>
  </si>
  <si>
    <t xml:space="preserve">Annual business plan and budget — 11.2</t>
  </si>
  <si>
    <t xml:space="preserve">"Budget from the rent roll up, not from last year down." Each line below is driven by a unit and a rate, not by a percentage applied to last year. Where a driver is not available, the line says so.</t>
  </si>
  <si>
    <t xml:space="preserve">Drivers</t>
  </si>
  <si>
    <t xml:space="preserve">Driver</t>
  </si>
  <si>
    <t xml:space="preserve">Value</t>
  </si>
  <si>
    <t xml:space="preserve">Note</t>
  </si>
  <si>
    <t xml:space="preserve">Units</t>
  </si>
  <si>
    <t xml:space="preserve">Multifamily. Swap for square feet on a commercial asset.</t>
  </si>
  <si>
    <t xml:space="preserve">Average in-place rent per unit per month</t>
  </si>
  <si>
    <t xml:space="preserve">From the rent roll, not from an average of last year.</t>
  </si>
  <si>
    <t xml:space="preserve">Market rent per unit per month</t>
  </si>
  <si>
    <t xml:space="preserve">Supported by leasing comps net of concessions, per 11.2.</t>
  </si>
  <si>
    <t xml:space="preserve">Budgeted physical occupancy</t>
  </si>
  <si>
    <t xml:space="preserve">Expected annual turnover</t>
  </si>
  <si>
    <t xml:space="preserve">Drives turn cost and downtime.</t>
  </si>
  <si>
    <t xml:space="preserve">Downtime per turn (days)</t>
  </si>
  <si>
    <t xml:space="preserve">Renewal rent increase</t>
  </si>
  <si>
    <t xml:space="preserve">New lease rent increase over in-place</t>
  </si>
  <si>
    <t xml:space="preserve">Revenue — driver-based</t>
  </si>
  <si>
    <t xml:space="preserve">Line</t>
  </si>
  <si>
    <t xml:space="preserve">Rate</t>
  </si>
  <si>
    <t xml:space="preserve">How it is built</t>
  </si>
  <si>
    <t xml:space="preserve">Gross potential rent</t>
  </si>
  <si>
    <t xml:space="preserve">Units x 12 months x in-place rent.</t>
  </si>
  <si>
    <t xml:space="preserve">Renewal increases</t>
  </si>
  <si>
    <t xml:space="preserve">Renewing units only, at the renewal increase.</t>
  </si>
  <si>
    <t xml:space="preserve">New lease increases</t>
  </si>
  <si>
    <t xml:space="preserve">Turning units only, at the new-lease spread.</t>
  </si>
  <si>
    <t xml:space="preserve">Vacancy loss</t>
  </si>
  <si>
    <t xml:space="preserve">Physical vacancy at the budgeted occupancy.</t>
  </si>
  <si>
    <t xml:space="preserve">Turn downtime loss</t>
  </si>
  <si>
    <t xml:space="preserve">Turns x downtime days. 11.2: budget what you can manage, aggressively.</t>
  </si>
  <si>
    <t xml:space="preserve">Concessions</t>
  </si>
  <si>
    <t xml:space="preserve">Half a month on new leases. Change the 0.5 to your market.</t>
  </si>
  <si>
    <t xml:space="preserve">Bad debt</t>
  </si>
  <si>
    <t xml:space="preserve">From the A/R ageing, not from a policy percentage.</t>
  </si>
  <si>
    <t xml:space="preserve">Other income</t>
  </si>
  <si>
    <t xml:space="preserve">Parking, pet rent, storage, fees. Compliance-checked.</t>
  </si>
  <si>
    <t xml:space="preserve">Effective gross income</t>
  </si>
  <si>
    <t xml:space="preserve">Operating expenses — driver-based</t>
  </si>
  <si>
    <t xml:space="preserve">Payroll</t>
  </si>
  <si>
    <t xml:space="preserve">Hours per occupied unit, converted to a per-unit cost.</t>
  </si>
  <si>
    <t xml:space="preserve">Contract services</t>
  </si>
  <si>
    <t xml:space="preserve">Landscaping, security, janitorial.</t>
  </si>
  <si>
    <t xml:space="preserve">Repairs and maintenance</t>
  </si>
  <si>
    <t xml:space="preserve">$/unit/year — the driver 11.2 names for multifamily.</t>
  </si>
  <si>
    <t xml:space="preserve">Turn costs</t>
  </si>
  <si>
    <t xml:space="preserve">Tied to expected move-outs, not to a flat allowance.</t>
  </si>
  <si>
    <t xml:space="preserve">Utilities</t>
  </si>
  <si>
    <t xml:space="preserve">Rate and consumption modelled separately.</t>
  </si>
  <si>
    <t xml:space="preserve">Property taxes</t>
  </si>
  <si>
    <t xml:space="preserve">Reassessment and appeal assumptions stated in the narrative.</t>
  </si>
  <si>
    <t xml:space="preserve">Insurance</t>
  </si>
  <si>
    <t xml:space="preserve">Renewal quote, not last year.</t>
  </si>
  <si>
    <t xml:space="preserve">Marketing</t>
  </si>
  <si>
    <t xml:space="preserve">Per turn, not per unit.</t>
  </si>
  <si>
    <t xml:space="preserve">Administrative and legal</t>
  </si>
  <si>
    <t xml:space="preserve">Management fee</t>
  </si>
  <si>
    <t xml:space="preserve">Percentage of the budgeted EGI.</t>
  </si>
  <si>
    <t xml:space="preserve">Total operating expenses</t>
  </si>
  <si>
    <t xml:space="preserve">Net operating income</t>
  </si>
  <si>
    <t xml:space="preserve">Value creation, kept separate — 11.2 principle 2</t>
  </si>
  <si>
    <t xml:space="preserve">Initiative</t>
  </si>
  <si>
    <t xml:space="preserve">Cost per unit</t>
  </si>
  <si>
    <t xml:space="preserve">Unit renovations</t>
  </si>
  <si>
    <t xml:space="preserve">Discrete initiative with its own KPI: rent premium achieved per renovated unit.</t>
  </si>
  <si>
    <t xml:space="preserve">Amenity upgrade</t>
  </si>
  <si>
    <t xml:space="preserve">Recurring capex — roof, HVAC, paving</t>
  </si>
  <si>
    <t xml:space="preserve">Not value creation. Kept here only so the capital plan is complete.</t>
  </si>
  <si>
    <t xml:space="preserve">Contingency</t>
  </si>
  <si>
    <t xml:space="preserve">Justified by scope and bid confidence, per item 14 of the 8.15 checklist.</t>
  </si>
  <si>
    <t xml:space="preserve">Total capital plan</t>
  </si>
  <si>
    <t xml:space="preserve">Summary</t>
  </si>
  <si>
    <t xml:space="preserve">Operating expense ratio</t>
  </si>
  <si>
    <t xml:space="preserve">NOI per unit</t>
  </si>
  <si>
    <t xml:space="preserve">Capital plan</t>
  </si>
  <si>
    <t xml:space="preserve">NOI after the capital plan</t>
  </si>
  <si>
    <t xml:space="preserve">The number that actually funds debt service and distributions this year.</t>
  </si>
  <si>
    <t xml:space="preserve">Economic occupancy</t>
  </si>
  <si>
    <t xml:space="preserve">Rental income actually collected, against gross potential rent at market. Below physical occupancy because of loss to lease, downtime, concessions and bad debt.</t>
  </si>
  <si>
    <t xml:space="preserve">Loss to lease</t>
  </si>
  <si>
    <t xml:space="preserve">In-place rent against market. This is the mark-to-market the business plan is meant to capture.</t>
  </si>
  <si>
    <t xml:space="preserve">Variance analysis — 11.3</t>
  </si>
  <si>
    <t xml:space="preserve">Section 11.3: institutional variance discipline "distinguishes between timing issues and structural issues, and ensures the response is proportional and fast." A line breaches the threshold at $10,000 or 3%, whichever comes first, and every breached line owes exactly three lines: what happened, why it happened, what we will do. Those are the last three columns.</t>
  </si>
  <si>
    <t xml:space="preserve">Thresholds</t>
  </si>
  <si>
    <t xml:space="preserve">Absolute threshold</t>
  </si>
  <si>
    <t xml:space="preserve">11.3 — "e.g. $10,000"</t>
  </si>
  <si>
    <t xml:space="preserve">Percentage threshold</t>
  </si>
  <si>
    <t xml:space="preserve">11.3 — "or 3% of line"</t>
  </si>
  <si>
    <t xml:space="preserve">Actual</t>
  </si>
  <si>
    <t xml:space="preserve">Variance %</t>
  </si>
  <si>
    <t xml:space="preserve">Flagged?</t>
  </si>
  <si>
    <t xml:space="preserve">Type — 11.3</t>
  </si>
  <si>
    <t xml:space="preserve">1. What happened</t>
  </si>
  <si>
    <t xml:space="preserve">2. Why it happened</t>
  </si>
  <si>
    <t xml:space="preserve">3. What we will do</t>
  </si>
  <si>
    <t xml:space="preserve">Base rent</t>
  </si>
  <si>
    <t xml:space="preserve">Volume</t>
  </si>
  <si>
    <t xml:space="preserve">Two large move-outs in March were not backfilled until May.</t>
  </si>
  <si>
    <t xml:space="preserve">Leasing pipeline thinned when the competing lease-up two blocks away started offering two months free.</t>
  </si>
  <si>
    <t xml:space="preserve">Match one month free on 2-bed units only, through June. Review 15 July.</t>
  </si>
  <si>
    <t xml:space="preserve">Physical occupancy averaged 93.1% against a 94.5% budget.</t>
  </si>
  <si>
    <t xml:space="preserve">Same root cause as base rent: concession competition on new supply.</t>
  </si>
  <si>
    <t xml:space="preserve">Covered by the leasing action above.</t>
  </si>
  <si>
    <t xml:space="preserve">Concession cost per new lease ran 46% above budget.</t>
  </si>
  <si>
    <t xml:space="preserve">Deliberate response to the supply event, approved at the April variance meeting.</t>
  </si>
  <si>
    <t xml:space="preserve">Hold the cap at one month; revisit if occupancy clears 95%.</t>
  </si>
  <si>
    <t xml:space="preserve">Parking and storage repriced in February.</t>
  </si>
  <si>
    <t xml:space="preserve">Market rate survey supported a 6% increase.</t>
  </si>
  <si>
    <t xml:space="preserve">None. Roll the new rate into the next budget.</t>
  </si>
  <si>
    <t xml:space="preserve"> </t>
  </si>
  <si>
    <t xml:space="preserve">Unit turn costs and two HVAC replacements.</t>
  </si>
  <si>
    <t xml:space="preserve">Turn cost per unit ran $1,780 against $1,450 budget; the HVAC units were at end of life and not in the capex plan.</t>
  </si>
  <si>
    <t xml:space="preserve">Move HVAC to the capital plan. Re-bid the turn vendor by 30 June.</t>
  </si>
  <si>
    <t xml:space="preserve">Structural</t>
  </si>
  <si>
    <t xml:space="preserve">Reassessment landed 11% above the budgeted figure.</t>
  </si>
  <si>
    <t xml:space="preserve">The county reassessed on the purchase price, which the budget narrative flagged as a risk.</t>
  </si>
  <si>
    <t xml:space="preserve">Appeal filed 2 May. Reforecast the year at the assessed figure; do not budget the appeal as income.</t>
  </si>
  <si>
    <t xml:space="preserve">Renewal premium up 16%.</t>
  </si>
  <si>
    <t xml:space="preserve">Market hardening; the broker quote arrived after the budget was set.</t>
  </si>
  <si>
    <t xml:space="preserve">Reforecast. Take the higher deductible option at next renewal and price the retained risk.</t>
  </si>
  <si>
    <t xml:space="preserve">Timing</t>
  </si>
  <si>
    <t xml:space="preserve">Total</t>
  </si>
  <si>
    <t xml:space="preserve">Headline — the first item on the 11.3 meeting agenda</t>
  </si>
  <si>
    <t xml:space="preserve">NOI — budget</t>
  </si>
  <si>
    <t xml:space="preserve">NOI — actual</t>
  </si>
  <si>
    <t xml:space="preserve">NOI variance</t>
  </si>
  <si>
    <t xml:space="preserve">NOI variance %</t>
  </si>
  <si>
    <t xml:space="preserve">Lines flagged</t>
  </si>
  <si>
    <t xml:space="preserve">Each of these owes three lines, and each of the three columns must be filled.</t>
  </si>
  <si>
    <t xml:space="preserve">Flagged lines missing an explanation</t>
  </si>
  <si>
    <t xml:space="preserve">If this is not zero, the meeting is not ready.</t>
  </si>
  <si>
    <t xml:space="preserve">Structural variance — the one that matters</t>
  </si>
  <si>
    <t xml:space="preserve">Timing reverses. Structural does not. Reforecast the year on this number.</t>
  </si>
  <si>
    <t xml:space="preserve">Timing variance</t>
  </si>
  <si>
    <t xml:space="preserve">Expected to reverse within the year.</t>
  </si>
  <si>
    <t xml:space="preserve">Volume variance</t>
  </si>
  <si>
    <t xml:space="preserve">Occupancy-driven.</t>
  </si>
  <si>
    <t xml:space="preserve">Rate variance</t>
  </si>
  <si>
    <t xml:space="preserve">Pricing-driven, on either side of the ledger.</t>
  </si>
  <si>
    <t xml:space="preserve">Mix variance</t>
  </si>
  <si>
    <t xml:space="preserve">Taxonomy reconciles to the total</t>
  </si>
  <si>
    <t xml:space="preserve">Must equal the NOI variance above. If it does not, a line is untyped.</t>
  </si>
  <si>
    <t xml:space="preserve">Reforecast NOI for the year</t>
  </si>
  <si>
    <t xml:space="preserve">Budget plus the structural variance only. Timing and one-off rate effects are not carried forward — that is the discipline 11.3 is asking for.</t>
  </si>
  <si>
    <t xml:space="preserve">Two flagged lines are deliberately left without an explanation, so you can see the control fire before you start using the sheet. Fill them in and the counter goes to zero.</t>
  </si>
  <si>
    <t xml:space="preserve">Quarterly close — Chapter 12</t>
  </si>
  <si>
    <t xml:space="preserve">"A quarterly close should be a repeatable cadence, not a sprint fuelled by memory." Twelve steps, in the chapter's order, with an owner and a date against each.</t>
  </si>
  <si>
    <t xml:space="preserve">#</t>
  </si>
  <si>
    <t xml:space="preserve">Step</t>
  </si>
  <si>
    <t xml:space="preserve">Status</t>
  </si>
  <si>
    <t xml:space="preserve">Owner</t>
  </si>
  <si>
    <t xml:space="preserve">Due date</t>
  </si>
  <si>
    <t xml:space="preserve">1) Close calendar and responsibilities</t>
  </si>
  <si>
    <t xml:space="preserve">Confirm reporting deadlines, valuation committee date and investor distribution targets.</t>
  </si>
  <si>
    <t xml:space="preserve">Open</t>
  </si>
  <si>
    <t xml:space="preserve">Assign owners for property T-12s, debt statements and capex updates.</t>
  </si>
  <si>
    <t xml:space="preserve">2) Cash and bank reconciliations</t>
  </si>
  <si>
    <t xml:space="preserve">Reconcile bank accounts for the fund and material SPVs.</t>
  </si>
  <si>
    <t xml:space="preserve">Review outstanding reconciling items; clear stale items.</t>
  </si>
  <si>
    <t xml:space="preserve">Validate restricted cash and lender reserves.</t>
  </si>
  <si>
    <t xml:space="preserve">3) Accounts payable and accruals</t>
  </si>
  <si>
    <t xml:space="preserve">Capture unpaid invoices, legal bills, admin fees, and audit and tax accruals.</t>
  </si>
  <si>
    <t xml:space="preserve">Accrue the management fee and any performance fee per the documents.</t>
  </si>
  <si>
    <t xml:space="preserve">Review prepaid expenses and amortise appropriately.</t>
  </si>
  <si>
    <t xml:space="preserve">4) Intercompany and related-party</t>
  </si>
  <si>
    <t xml:space="preserve">Reconcile due to and from affiliates and SPVs.</t>
  </si>
  <si>
    <t xml:space="preserve">Ensure related-party expenses are allocated per policy and documented.</t>
  </si>
  <si>
    <t xml:space="preserve">5) Debt and compliance</t>
  </si>
  <si>
    <t xml:space="preserve">Record interest expense, amortisation of financing costs and covenant compliance status.</t>
  </si>
  <si>
    <t xml:space="preserve">Update the maturity schedule and hedging impacts.</t>
  </si>
  <si>
    <t xml:space="preserve">6) Property-level data consolidation</t>
  </si>
  <si>
    <t xml:space="preserve">Collect property financials, rent rolls, occupancy and leasing updates.</t>
  </si>
  <si>
    <t xml:space="preserve">Review anomalies: bad debt spikes, concessions, unusual repairs.</t>
  </si>
  <si>
    <t xml:space="preserve">7) Valuation and NAV</t>
  </si>
  <si>
    <t xml:space="preserve">Update valuation models — income, comps, DCF — and their assumptions.</t>
  </si>
  <si>
    <t xml:space="preserve">Obtain third-party appraisal updates if scheduled.</t>
  </si>
  <si>
    <t xml:space="preserve">Prepare the valuation memo and the NAV bridge from prior NAV to current NAV.</t>
  </si>
  <si>
    <t xml:space="preserve">Present to the valuation committee for approval and document the minutes.</t>
  </si>
  <si>
    <t xml:space="preserve">8) Capital activity</t>
  </si>
  <si>
    <t xml:space="preserve">Post capital calls, contributions and distributions.</t>
  </si>
  <si>
    <t xml:space="preserve">Confirm investor ownership, commitments and any transfers.</t>
  </si>
  <si>
    <t xml:space="preserve">Update the unfunded commitment schedule.</t>
  </si>
  <si>
    <t xml:space="preserve">9) Allocation and investor statements</t>
  </si>
  <si>
    <t xml:space="preserve">Run the allocation engine for income and expense, and for unrealised and realised gains.</t>
  </si>
  <si>
    <t xml:space="preserve">Generate investor statements; review for reasonableness and tier outcomes.</t>
  </si>
  <si>
    <t xml:space="preserve">10) Financial statements and management reporting</t>
  </si>
  <si>
    <t xml:space="preserve">Prepare the fund-level balance sheet, income statement and cash flow.</t>
  </si>
  <si>
    <t xml:space="preserve">Provide variance analysis against budget and prior quarter.</t>
  </si>
  <si>
    <t xml:space="preserve">11) Quality assurance tests</t>
  </si>
  <si>
    <t xml:space="preserve">Tie cash to bank statements.</t>
  </si>
  <si>
    <t xml:space="preserve">Tie capital activity to notices and receipts.</t>
  </si>
  <si>
    <t xml:space="preserve">Validate NAV per unit or share and reconcile to capital accounts.</t>
  </si>
  <si>
    <t xml:space="preserve">Analytical review: changes in NOI, cap rates, debt balances and expenses.</t>
  </si>
  <si>
    <t xml:space="preserve">12) Sign-off and release</t>
  </si>
  <si>
    <t xml:space="preserve">Controller or CFO sign-off on the close package.</t>
  </si>
  <si>
    <t xml:space="preserve">Release investor reports via the portal; document the distribution list and timestamps.</t>
  </si>
  <si>
    <t xml:space="preserve">Progress</t>
  </si>
  <si>
    <t xml:space="preserve">Count</t>
  </si>
  <si>
    <t xml:space="preserve">Done</t>
  </si>
  <si>
    <t xml:space="preserve">Steps without an owner</t>
  </si>
  <si>
    <t xml:space="preserve">Percentage complete</t>
  </si>
  <si>
    <t xml:space="preserve">Close ready to release</t>
  </si>
  <si>
    <t xml:space="preserve">Fund risk register — item 1 of the 90-day toolkit</t>
  </si>
  <si>
    <t xml:space="preserve">Section 13.13: "create a fund risk register with top 15 risks, owners, KPIs and mitigation actions." The fifteen below are drawn from the risk families the chapter sets out — market, credit and tenant, construction, legal and regulatory, cyber and data, reputational. Replace them with yours; keep the columns.</t>
  </si>
  <si>
    <t xml:space="preserve">Risk</t>
  </si>
  <si>
    <t xml:space="preserve">Family</t>
  </si>
  <si>
    <t xml:space="preserve">Likelihood 1-5</t>
  </si>
  <si>
    <t xml:space="preserve">Impact 1-5</t>
  </si>
  <si>
    <t xml:space="preserve">Score</t>
  </si>
  <si>
    <t xml:space="preserve">KPI and mitigation</t>
  </si>
  <si>
    <t xml:space="preserve">Cap rate expansion at exit</t>
  </si>
  <si>
    <t xml:space="preserve">Market</t>
  </si>
  <si>
    <t xml:space="preserve">Exit cap versus entry, tracked quarterly. Mitigation: extension options, no forced sale window.</t>
  </si>
  <si>
    <t xml:space="preserve">Refinancing at lower proceeds</t>
  </si>
  <si>
    <t xml:space="preserve">Refi proceeds under the stressed credit box. Mitigation: maturity ladder, reserves.</t>
  </si>
  <si>
    <t xml:space="preserve">Rate rises beyond the cap strike</t>
  </si>
  <si>
    <t xml:space="preserve">Index versus strike. Mitigation: strike set off the covenant, not off a rate view.</t>
  </si>
  <si>
    <t xml:space="preserve">Major tenant default or non-renewal</t>
  </si>
  <si>
    <t xml:space="preserve">Credit and tenant</t>
  </si>
  <si>
    <t xml:space="preserve">Tenant concentration, A/R ageing. Mitigation: early renewal dialogue, TI reserve.</t>
  </si>
  <si>
    <t xml:space="preserve">Collections deterioration</t>
  </si>
  <si>
    <t xml:space="preserve">Collections as a percentage of billings. Mitigation: weekly delinquency review.</t>
  </si>
  <si>
    <t xml:space="preserve">Lease-up slower than plan</t>
  </si>
  <si>
    <t xml:space="preserve">Absorption versus plan, in units per month. Mitigation: concession authority pre-agreed.</t>
  </si>
  <si>
    <t xml:space="preserve">Construction cost overrun</t>
  </si>
  <si>
    <t xml:space="preserve">Construction</t>
  </si>
  <si>
    <t xml:space="preserve">Committed versus budget, change orders. Mitigation: GMP, contingency sized on scope.</t>
  </si>
  <si>
    <t xml:space="preserve">Construction schedule slippage</t>
  </si>
  <si>
    <t xml:space="preserve">Critical path float. Mitigation: liquidated damages, monthly draw inspections.</t>
  </si>
  <si>
    <t xml:space="preserve">Property tax reassessment</t>
  </si>
  <si>
    <t xml:space="preserve">Legal and regulatory</t>
  </si>
  <si>
    <t xml:space="preserve">Assessed value versus underwritten. Mitigation: appeal filed, never budgeted as income.</t>
  </si>
  <si>
    <t xml:space="preserve">Insurance premium hardening</t>
  </si>
  <si>
    <t xml:space="preserve">Renewal quote versus expiring. Mitigation: deductible review, retained risk priced.</t>
  </si>
  <si>
    <t xml:space="preserve">Regulatory or compliance breach</t>
  </si>
  <si>
    <t xml:space="preserve">Open compliance items. Mitigation: marketing pre-approval, substantiation files.</t>
  </si>
  <si>
    <t xml:space="preserve">Wire fraud</t>
  </si>
  <si>
    <t xml:space="preserve">Cyber and data</t>
  </si>
  <si>
    <t xml:space="preserve">Dual approval coverage. Mitigation: verified callbacks on every change of instruction.</t>
  </si>
  <si>
    <t xml:space="preserve">Data loss or ransomware</t>
  </si>
  <si>
    <t xml:space="preserve">Backup restore test date. Mitigation: tested restores, not just backups.</t>
  </si>
  <si>
    <t xml:space="preserve">Key-person departure</t>
  </si>
  <si>
    <t xml:space="preserve">Reputational</t>
  </si>
  <si>
    <t xml:space="preserve">Succession coverage for named roles. Mitigation: documented handover, retention terms.</t>
  </si>
  <si>
    <t xml:space="preserve">Investor confidence in a stress event</t>
  </si>
  <si>
    <t xml:space="preserve">Time from event to LP communication. Mitigation: pre-agreed escalation protocol.</t>
  </si>
  <si>
    <t xml:space="preserve">Highest score</t>
  </si>
  <si>
    <t xml:space="preserve">Likelihood times impact, out of 25.</t>
  </si>
  <si>
    <t xml:space="preserve">Risks scoring 12 or above</t>
  </si>
  <si>
    <t xml:space="preserve">These belong on the monthly dashboard, not the quarterly one.</t>
  </si>
  <si>
    <t xml:space="preserve">Risks scoring 16 or above</t>
  </si>
  <si>
    <t xml:space="preserve">These belong in the IC pack.</t>
  </si>
  <si>
    <t xml:space="preserve">Risks without a named owner</t>
  </si>
  <si>
    <t xml:space="preserve">A risk without an owner is a note, not a control.</t>
  </si>
  <si>
    <t xml:space="preserve">Average score</t>
  </si>
  <si>
    <t xml:space="preserve">The next ninety days — 13.13</t>
  </si>
  <si>
    <t xml:space="preserve">"None of these items requires perfection. They require consistency." Eight items, sequenced across three months so the ones that unblock the others come first.</t>
  </si>
  <si>
    <t xml:space="preserve">Item</t>
  </si>
  <si>
    <t xml:space="preserve">Month</t>
  </si>
  <si>
    <t xml:space="preserve">Effort (days)</t>
  </si>
  <si>
    <t xml:space="preserve">Why here</t>
  </si>
  <si>
    <t xml:space="preserve">Create a fund risk register with the top 15 risks, owners, KPIs and mitigation actions.</t>
  </si>
  <si>
    <t xml:space="preserve">The Risk Register sheet is this item. Do it first: it names what everything else is protecting against.</t>
  </si>
  <si>
    <t xml:space="preserve">Adopt a wire fraud prevention protocol with dual approval and verified callbacks.</t>
  </si>
  <si>
    <t xml:space="preserve">Cheapest control in the list and the only one where a single failure is unrecoverable.</t>
  </si>
  <si>
    <t xml:space="preserve">Establish AML/KYC onboarding checklists and sanctions screening for all investors.</t>
  </si>
  <si>
    <t xml:space="preserve">Blocks new subscriptions if it is not in place. Do it before the next close, not after.</t>
  </si>
  <si>
    <t xml:space="preserve">Implement a monthly portfolio risk dashboard: leverage, maturities, rollover, construction exposure, insurance costs, collections, top exceptions.</t>
  </si>
  <si>
    <t xml:space="preserve">Needs the risk register to know what to put on it.</t>
  </si>
  <si>
    <t xml:space="preserve">Build a conflicts register and implement a transaction allocation policy.</t>
  </si>
  <si>
    <t xml:space="preserve">Asked for in every LP diligence questionnaire. Cheap to build, expensive to retrofit.</t>
  </si>
  <si>
    <t xml:space="preserve">Document recordkeeping standards and enforce a shared repository taxonomy.</t>
  </si>
  <si>
    <t xml:space="preserve">Every later item gets easier once documents have one home and one naming convention.</t>
  </si>
  <si>
    <t xml:space="preserve">Standardise marketing and disclosure controls: version control, pre-approval, substantiation files.</t>
  </si>
  <si>
    <t xml:space="preserve">Depends on the repository taxonomy from item 8.</t>
  </si>
  <si>
    <t xml:space="preserve">Launch an ESG baseline: energy and water benchmarking, climate screening, and a prioritised capex list.</t>
  </si>
  <si>
    <t xml:space="preserve">Longest lead time because it needs utility data. Start collecting in month 1 even though the item lands in month 3.</t>
  </si>
  <si>
    <t xml:space="preserve">Month 1</t>
  </si>
  <si>
    <t xml:space="preserve">Month 2</t>
  </si>
  <si>
    <t xml:space="preserve">Month 3</t>
  </si>
  <si>
    <t xml:space="preserve">Items</t>
  </si>
  <si>
    <t xml:space="preserve">Roughly one person-week a month. That is the point: this is a consistency programme, not a project.</t>
  </si>
  <si>
    <t xml:space="preserve">Total effort</t>
  </si>
  <si>
    <t xml:space="preserve">Readiness to raise the next fund — 14.12</t>
  </si>
  <si>
    <t xml:space="preserve">Four families of metric, scored 1 to 5. The chapter is clear that none of them is the decisive one — that is handled separately at the bottom, because it is a judgement rather than a number.</t>
  </si>
  <si>
    <t xml:space="preserve">Metric</t>
  </si>
  <si>
    <t xml:space="preserve">Score 1-5</t>
  </si>
  <si>
    <t xml:space="preserve">Weight</t>
  </si>
  <si>
    <t xml:space="preserve">What a 5 looks like</t>
  </si>
  <si>
    <t xml:space="preserve">Performance and realisation</t>
  </si>
  <si>
    <t xml:space="preserve">Realised track record</t>
  </si>
  <si>
    <t xml:space="preserve">Some realised deals, however small, with MOIC and IRR net to LP.</t>
  </si>
  <si>
    <t xml:space="preserve">Unrealised value support</t>
  </si>
  <si>
    <t xml:space="preserve">Third-party valuations, credible comps, conservative cap rates.</t>
  </si>
  <si>
    <t xml:space="preserve">Distribution consistency</t>
  </si>
  <si>
    <t xml:space="preserve">Distributions aligned with policy rather than with fundraising needs.</t>
  </si>
  <si>
    <t xml:space="preserve">Loss ratio</t>
  </si>
  <si>
    <t xml:space="preserve">Not zero losses — documented learning and bounded downside.</t>
  </si>
  <si>
    <t xml:space="preserve">Portfolio health</t>
  </si>
  <si>
    <t xml:space="preserve">Occupancy and collections versus market</t>
  </si>
  <si>
    <t xml:space="preserve">Leasing pipeline coverage of near-term expiries</t>
  </si>
  <si>
    <t xml:space="preserve">Ties to the expiry clustering in the underwriting workbook.</t>
  </si>
  <si>
    <t xml:space="preserve">Capex burn against plan, variance explained</t>
  </si>
  <si>
    <t xml:space="preserve">Ties to the Variance sheet.</t>
  </si>
  <si>
    <t xml:space="preserve">Debt metrics: maturity, hedging, covenant headroom</t>
  </si>
  <si>
    <t xml:space="preserve">Ties to the maturity ladder in the debt workbook.</t>
  </si>
  <si>
    <t xml:space="preserve">Platform and operations</t>
  </si>
  <si>
    <t xml:space="preserve">Reporting timeliness — 3 to 4 consecutive quarters</t>
  </si>
  <si>
    <t xml:space="preserve">On schedule, not merely delivered.</t>
  </si>
  <si>
    <t xml:space="preserve">Audit and tax delivery, including K-1s</t>
  </si>
  <si>
    <t xml:space="preserve">Data completeness and document readiness</t>
  </si>
  <si>
    <t xml:space="preserve">Leases, abstracts, capex, compliance.</t>
  </si>
  <si>
    <t xml:space="preserve">Team stability and succession for key-person risk</t>
  </si>
  <si>
    <t xml:space="preserve">Fundraising process</t>
  </si>
  <si>
    <t xml:space="preserve">CRM discipline: touchpoints and conversion funnel</t>
  </si>
  <si>
    <t xml:space="preserve">Referenceability of LPs, especially under stress</t>
  </si>
  <si>
    <t xml:space="preserve">The reference call that matters is the one about a bad quarter.</t>
  </si>
  <si>
    <t xml:space="preserve">Repeat capital from Fund I into Fund II</t>
  </si>
  <si>
    <t xml:space="preserve">14.12 calls this "a powerful signal". Weighted accordingly.</t>
  </si>
  <si>
    <t xml:space="preserve">Co-invest demand</t>
  </si>
  <si>
    <t xml:space="preserve">Weighted readiness score</t>
  </si>
  <si>
    <t xml:space="preserve">Metrics scoring 2 or below</t>
  </si>
  <si>
    <t xml:space="preserve">Each of these is a question you will be asked in diligence.</t>
  </si>
  <si>
    <t xml:space="preserve">Weighted drag from those metrics</t>
  </si>
  <si>
    <t xml:space="preserve">How much of the gap to a 4.0 sits in the weak metrics.</t>
  </si>
  <si>
    <t xml:space="preserve">Reading</t>
  </si>
  <si>
    <t xml:space="preserve">The decisive indicator — 14.12</t>
  </si>
  <si>
    <t xml:space="preserve">The chapter ends by saying the strongest predictor of Fund II success "is not a top-quartile year in a bull market". It is evidence of five things, and none of them scores neatly. Answer each with an example, not a rating.</t>
  </si>
  <si>
    <t xml:space="preserve">Evidence</t>
  </si>
  <si>
    <t xml:space="preserve">Your example</t>
  </si>
  <si>
    <t xml:space="preserve">Planned multiple exits in advance.</t>
  </si>
  <si>
    <t xml:space="preserve">Preserved optionality with reserves and governance.</t>
  </si>
  <si>
    <t xml:space="preserve">Communicated early and precisely.</t>
  </si>
  <si>
    <t xml:space="preserve">Made hard decisions without improvisation.</t>
  </si>
  <si>
    <t xml:space="preserve">Improved the platform while operating the portfolio.</t>
  </si>
</sst>
</file>

<file path=xl/styles.xml><?xml version="1.0" encoding="utf-8"?>
<styleSheet xmlns="http://schemas.openxmlformats.org/spreadsheetml/2006/main">
  <numFmts count="8">
    <numFmt numFmtId="164" formatCode="General"/>
    <numFmt numFmtId="165" formatCode="#,##0;\(#,##0\);\-"/>
    <numFmt numFmtId="166" formatCode="\$#,##0;&quot;($&quot;#,##0\);\-"/>
    <numFmt numFmtId="167" formatCode="0.0%;\(0.0%\);\-"/>
    <numFmt numFmtId="168" formatCode="0"/>
    <numFmt numFmtId="169" formatCode="0.00"/>
    <numFmt numFmtId="170" formatCode="0.000"/>
    <numFmt numFmtId="171" formatCode="0.0"/>
  </numFmts>
  <fonts count="11">
    <font>
      <sz val="11"/>
      <color theme="1"/>
      <name val="Calibri"/>
      <family val="2"/>
      <charset val="1"/>
    </font>
    <font>
      <sz val="10"/>
      <name val="Arial"/>
      <family val="0"/>
    </font>
    <font>
      <sz val="10"/>
      <name val="Arial"/>
      <family val="0"/>
    </font>
    <font>
      <sz val="10"/>
      <name val="Arial"/>
      <family val="0"/>
    </font>
    <font>
      <b val="true"/>
      <sz val="14"/>
      <color rgb="FF1F3864"/>
      <name val="Arial"/>
      <family val="0"/>
      <charset val="1"/>
    </font>
    <font>
      <sz val="10"/>
      <name val="Arial"/>
      <family val="0"/>
      <charset val="1"/>
    </font>
    <font>
      <b val="true"/>
      <sz val="11"/>
      <color rgb="FF1F3864"/>
      <name val="Arial"/>
      <family val="0"/>
      <charset val="1"/>
    </font>
    <font>
      <b val="true"/>
      <sz val="10"/>
      <name val="Arial"/>
      <family val="0"/>
      <charset val="1"/>
    </font>
    <font>
      <i val="true"/>
      <sz val="9"/>
      <color rgb="FF595959"/>
      <name val="Arial"/>
      <family val="0"/>
      <charset val="1"/>
    </font>
    <font>
      <b val="true"/>
      <sz val="10"/>
      <color rgb="FFFFFFFF"/>
      <name val="Arial"/>
      <family val="0"/>
      <charset val="1"/>
    </font>
    <font>
      <sz val="10"/>
      <color rgb="FF0000FF"/>
      <name val="Arial"/>
      <family val="0"/>
      <charset val="1"/>
    </font>
  </fonts>
  <fills count="5">
    <fill>
      <patternFill patternType="none"/>
    </fill>
    <fill>
      <patternFill patternType="gray125"/>
    </fill>
    <fill>
      <patternFill patternType="solid">
        <fgColor rgb="FF1F3864"/>
        <bgColor rgb="FF333333"/>
      </patternFill>
    </fill>
    <fill>
      <patternFill patternType="solid">
        <fgColor rgb="FFFFFF00"/>
        <bgColor rgb="FFFFFF00"/>
      </patternFill>
    </fill>
    <fill>
      <patternFill patternType="solid">
        <fgColor rgb="FFEDF2F9"/>
        <bgColor rgb="FFFFFFFF"/>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xf numFmtId="164" fontId="9" fillId="2" borderId="0" xfId="0" applyFont="true" applyBorder="false" applyAlignment="true" applyProtection="false">
      <alignment horizontal="center" vertical="center"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5" fontId="10" fillId="3" borderId="1" xfId="0" applyFont="true" applyBorder="true" applyAlignment="false" applyProtection="false">
      <alignment horizontal="general" vertical="bottom" textRotation="0" wrapText="false" indent="0" shrinkToFit="false"/>
      <protection locked="true" hidden="false"/>
    </xf>
    <xf numFmtId="166" fontId="10" fillId="3" borderId="1" xfId="0" applyFont="true" applyBorder="true" applyAlignment="false" applyProtection="false">
      <alignment horizontal="general" vertical="bottom" textRotation="0" wrapText="false" indent="0" shrinkToFit="false"/>
      <protection locked="true" hidden="false"/>
    </xf>
    <xf numFmtId="167" fontId="10" fillId="3" borderId="1" xfId="0" applyFont="true" applyBorder="true" applyAlignment="false" applyProtection="false">
      <alignment horizontal="general" vertical="bottom" textRotation="0" wrapText="false" indent="0" shrinkToFit="false"/>
      <protection locked="true" hidden="false"/>
    </xf>
    <xf numFmtId="168" fontId="10" fillId="3" borderId="1" xfId="0" applyFont="true" applyBorder="true" applyAlignment="false" applyProtection="false">
      <alignment horizontal="general" vertical="bottom" textRotation="0" wrapText="false" indent="0" shrinkToFit="false"/>
      <protection locked="true" hidden="false"/>
    </xf>
    <xf numFmtId="165" fontId="5" fillId="0" borderId="0" xfId="0" applyFont="true" applyBorder="false" applyAlignment="false" applyProtection="false">
      <alignment horizontal="general" vertical="bottom" textRotation="0" wrapText="false" indent="0" shrinkToFit="false"/>
      <protection locked="true" hidden="false"/>
    </xf>
    <xf numFmtId="169" fontId="5" fillId="0" borderId="0" xfId="0" applyFont="true" applyBorder="false" applyAlignment="false" applyProtection="false">
      <alignment horizontal="general" vertical="bottom" textRotation="0" wrapText="false" indent="0" shrinkToFit="false"/>
      <protection locked="true" hidden="false"/>
    </xf>
    <xf numFmtId="166" fontId="5" fillId="0" borderId="0" xfId="0" applyFont="true" applyBorder="false" applyAlignment="false" applyProtection="false">
      <alignment horizontal="general" vertical="bottom" textRotation="0" wrapText="false" indent="0" shrinkToFit="false"/>
      <protection locked="true" hidden="false"/>
    </xf>
    <xf numFmtId="169" fontId="10" fillId="3" borderId="1" xfId="0" applyFont="true" applyBorder="true" applyAlignment="false" applyProtection="false">
      <alignment horizontal="general" vertical="bottom" textRotation="0" wrapText="false" indent="0" shrinkToFit="false"/>
      <protection locked="true" hidden="false"/>
    </xf>
    <xf numFmtId="164" fontId="7" fillId="4" borderId="0" xfId="0" applyFont="true" applyBorder="false" applyAlignment="false" applyProtection="false">
      <alignment horizontal="general" vertical="bottom" textRotation="0" wrapText="false" indent="0" shrinkToFit="false"/>
      <protection locked="true" hidden="false"/>
    </xf>
    <xf numFmtId="166" fontId="7" fillId="4" borderId="0" xfId="0" applyFont="true" applyBorder="false" applyAlignment="false" applyProtection="false">
      <alignment horizontal="general" vertical="bottom" textRotation="0" wrapText="false" indent="0" shrinkToFit="false"/>
      <protection locked="true" hidden="false"/>
    </xf>
    <xf numFmtId="170" fontId="10" fillId="3" borderId="1" xfId="0" applyFont="true" applyBorder="true" applyAlignment="false" applyProtection="false">
      <alignment horizontal="general" vertical="bottom" textRotation="0" wrapText="false" indent="0" shrinkToFit="false"/>
      <protection locked="true" hidden="false"/>
    </xf>
    <xf numFmtId="167" fontId="5" fillId="0" borderId="0" xfId="0" applyFont="true" applyBorder="false" applyAlignment="false" applyProtection="false">
      <alignment horizontal="general" vertical="bottom" textRotation="0" wrapText="false" indent="0" shrinkToFit="false"/>
      <protection locked="true" hidden="false"/>
    </xf>
    <xf numFmtId="164" fontId="10" fillId="3" borderId="1" xfId="0" applyFont="true" applyBorder="true" applyAlignment="true" applyProtection="false">
      <alignment horizontal="center" vertical="bottom" textRotation="0" wrapText="false" indent="0" shrinkToFit="false"/>
      <protection locked="true" hidden="false"/>
    </xf>
    <xf numFmtId="164" fontId="10" fillId="3" borderId="1" xfId="0" applyFont="true" applyBorder="true" applyAlignment="true" applyProtection="false">
      <alignment horizontal="general" vertical="top" textRotation="0" wrapText="true" indent="0" shrinkToFit="false"/>
      <protection locked="true" hidden="false"/>
    </xf>
    <xf numFmtId="167" fontId="7" fillId="4" borderId="0" xfId="0" applyFont="true" applyBorder="false" applyAlignment="false" applyProtection="false">
      <alignment horizontal="general" vertical="bottom" textRotation="0" wrapText="false" indent="0" shrinkToFit="false"/>
      <protection locked="true" hidden="false"/>
    </xf>
    <xf numFmtId="168" fontId="5"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xf numFmtId="164" fontId="7" fillId="4"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10" fillId="3" borderId="1" xfId="0" applyFont="true" applyBorder="true" applyAlignment="false" applyProtection="false">
      <alignment horizontal="general" vertical="bottom" textRotation="0" wrapText="false" indent="0" shrinkToFit="false"/>
      <protection locked="true" hidden="false"/>
    </xf>
    <xf numFmtId="164" fontId="7" fillId="3" borderId="0" xfId="0" applyFont="true" applyBorder="false" applyAlignment="false" applyProtection="false">
      <alignment horizontal="general" vertical="bottom" textRotation="0" wrapText="false" indent="0" shrinkToFit="false"/>
      <protection locked="true" hidden="false"/>
    </xf>
    <xf numFmtId="168" fontId="7" fillId="0" borderId="0" xfId="0" applyFont="true" applyBorder="false" applyAlignment="false" applyProtection="false">
      <alignment horizontal="general" vertical="bottom" textRotation="0" wrapText="false" indent="0" shrinkToFit="false"/>
      <protection locked="true" hidden="false"/>
    </xf>
    <xf numFmtId="171" fontId="5" fillId="0" borderId="0" xfId="0" applyFont="true" applyBorder="false" applyAlignment="false" applyProtection="false">
      <alignment horizontal="general" vertical="bottom" textRotation="0" wrapText="false" indent="0" shrinkToFit="false"/>
      <protection locked="true" hidden="false"/>
    </xf>
    <xf numFmtId="168" fontId="7" fillId="4" borderId="0" xfId="0" applyFont="true" applyBorder="false" applyAlignment="false" applyProtection="false">
      <alignment horizontal="general" vertical="bottom" textRotation="0" wrapText="false" indent="0" shrinkToFit="false"/>
      <protection locked="true" hidden="false"/>
    </xf>
    <xf numFmtId="169" fontId="7" fillId="4"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EDF2F9"/>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2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04"/>
  </cols>
  <sheetData>
    <row r="2" customFormat="false" ht="17.35" hidden="false" customHeight="false" outlineLevel="0" collapsed="false">
      <c r="B2" s="1" t="s">
        <v>0</v>
      </c>
    </row>
    <row r="4" customFormat="false" ht="23.85" hidden="false" customHeight="false" outlineLevel="0" collapsed="false">
      <c r="B4" s="2" t="s">
        <v>1</v>
      </c>
    </row>
    <row r="6" customFormat="false" ht="15" hidden="false" customHeight="false" outlineLevel="0" collapsed="false">
      <c r="B6" s="3" t="s">
        <v>2</v>
      </c>
    </row>
    <row r="7" customFormat="false" ht="15" hidden="false" customHeight="false" outlineLevel="0" collapsed="false">
      <c r="B7" s="4" t="s">
        <v>3</v>
      </c>
    </row>
    <row r="8" customFormat="false" ht="23.85" hidden="false" customHeight="false" outlineLevel="0" collapsed="false">
      <c r="B8" s="2" t="s">
        <v>4</v>
      </c>
    </row>
    <row r="9" customFormat="false" ht="15" hidden="false" customHeight="false" outlineLevel="0" collapsed="false">
      <c r="B9" s="4" t="s">
        <v>5</v>
      </c>
    </row>
    <row r="10" customFormat="false" ht="35.05" hidden="false" customHeight="false" outlineLevel="0" collapsed="false">
      <c r="B10" s="2" t="s">
        <v>6</v>
      </c>
    </row>
    <row r="11" customFormat="false" ht="15" hidden="false" customHeight="false" outlineLevel="0" collapsed="false">
      <c r="B11" s="4" t="s">
        <v>7</v>
      </c>
    </row>
    <row r="12" customFormat="false" ht="15" hidden="false" customHeight="false" outlineLevel="0" collapsed="false">
      <c r="B12" s="2" t="s">
        <v>8</v>
      </c>
    </row>
    <row r="13" customFormat="false" ht="15" hidden="false" customHeight="false" outlineLevel="0" collapsed="false">
      <c r="B13" s="4" t="s">
        <v>9</v>
      </c>
    </row>
    <row r="14" customFormat="false" ht="15" hidden="false" customHeight="false" outlineLevel="0" collapsed="false">
      <c r="B14" s="2" t="s">
        <v>10</v>
      </c>
    </row>
    <row r="15" customFormat="false" ht="15" hidden="false" customHeight="false" outlineLevel="0" collapsed="false">
      <c r="B15" s="4" t="s">
        <v>11</v>
      </c>
    </row>
    <row r="16" customFormat="false" ht="15" hidden="false" customHeight="false" outlineLevel="0" collapsed="false">
      <c r="B16" s="2" t="s">
        <v>12</v>
      </c>
    </row>
    <row r="17" customFormat="false" ht="15" hidden="false" customHeight="false" outlineLevel="0" collapsed="false">
      <c r="B17" s="4" t="s">
        <v>13</v>
      </c>
    </row>
    <row r="18" customFormat="false" ht="23.85" hidden="false" customHeight="false" outlineLevel="0" collapsed="false">
      <c r="B18" s="2" t="s">
        <v>14</v>
      </c>
    </row>
    <row r="20" customFormat="false" ht="22.35" hidden="false" customHeight="false" outlineLevel="0" collapsed="false">
      <c r="B20" s="5" t="s">
        <v>15</v>
      </c>
    </row>
    <row r="22" customFormat="false" ht="15" hidden="false" customHeight="false" outlineLevel="0" collapsed="false">
      <c r="B22" s="5" t="s">
        <v>16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6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0"/>
    <col collapsed="false" customWidth="true" hidden="false" outlineLevel="0" max="7" min="3" style="0" width="15"/>
    <col collapsed="false" customWidth="true" hidden="false" outlineLevel="0" max="8" min="8" style="0" width="48"/>
  </cols>
  <sheetData>
    <row r="2" customFormat="false" ht="32.8" hidden="false" customHeight="false" outlineLevel="0" collapsed="false">
      <c r="B2" s="1" t="s">
        <v>17</v>
      </c>
    </row>
    <row r="4" customFormat="false" ht="31.5" hidden="false" customHeight="true" outlineLevel="0" collapsed="false">
      <c r="B4" s="6" t="s">
        <v>18</v>
      </c>
      <c r="C4" s="6"/>
      <c r="D4" s="6"/>
      <c r="E4" s="6"/>
      <c r="F4" s="6"/>
      <c r="G4" s="6"/>
      <c r="H4" s="6"/>
    </row>
    <row r="6" customFormat="false" ht="15" hidden="false" customHeight="false" outlineLevel="0" collapsed="false">
      <c r="B6" s="3" t="s">
        <v>19</v>
      </c>
    </row>
    <row r="7" customFormat="false" ht="27.75" hidden="false" customHeight="true" outlineLevel="0" collapsed="false">
      <c r="B7" s="7" t="s">
        <v>20</v>
      </c>
      <c r="C7" s="7" t="s">
        <v>21</v>
      </c>
      <c r="H7" s="7" t="s">
        <v>22</v>
      </c>
    </row>
    <row r="8" customFormat="false" ht="15" hidden="false" customHeight="false" outlineLevel="0" collapsed="false">
      <c r="B8" s="8" t="s">
        <v>23</v>
      </c>
      <c r="C8" s="9" t="n">
        <v>248</v>
      </c>
      <c r="H8" s="5" t="s">
        <v>24</v>
      </c>
    </row>
    <row r="9" customFormat="false" ht="15" hidden="false" customHeight="false" outlineLevel="0" collapsed="false">
      <c r="B9" s="8" t="s">
        <v>25</v>
      </c>
      <c r="C9" s="10" t="n">
        <v>1640</v>
      </c>
      <c r="H9" s="5" t="s">
        <v>26</v>
      </c>
    </row>
    <row r="10" customFormat="false" ht="15" hidden="false" customHeight="false" outlineLevel="0" collapsed="false">
      <c r="B10" s="8" t="s">
        <v>27</v>
      </c>
      <c r="C10" s="10" t="n">
        <v>1785</v>
      </c>
      <c r="H10" s="5" t="s">
        <v>28</v>
      </c>
    </row>
    <row r="11" customFormat="false" ht="15" hidden="false" customHeight="false" outlineLevel="0" collapsed="false">
      <c r="B11" s="8" t="s">
        <v>29</v>
      </c>
      <c r="C11" s="11" t="n">
        <v>0.945</v>
      </c>
      <c r="H11" s="5"/>
    </row>
    <row r="12" customFormat="false" ht="15" hidden="false" customHeight="false" outlineLevel="0" collapsed="false">
      <c r="B12" s="8" t="s">
        <v>30</v>
      </c>
      <c r="C12" s="11" t="n">
        <v>0.48</v>
      </c>
      <c r="H12" s="5" t="s">
        <v>31</v>
      </c>
    </row>
    <row r="13" customFormat="false" ht="15" hidden="false" customHeight="false" outlineLevel="0" collapsed="false">
      <c r="B13" s="8" t="s">
        <v>32</v>
      </c>
      <c r="C13" s="12" t="n">
        <v>18</v>
      </c>
      <c r="H13" s="5"/>
    </row>
    <row r="14" customFormat="false" ht="15" hidden="false" customHeight="false" outlineLevel="0" collapsed="false">
      <c r="B14" s="8" t="s">
        <v>33</v>
      </c>
      <c r="C14" s="11" t="n">
        <v>0.035</v>
      </c>
      <c r="H14" s="5"/>
    </row>
    <row r="15" customFormat="false" ht="15" hidden="false" customHeight="false" outlineLevel="0" collapsed="false">
      <c r="B15" s="8" t="s">
        <v>34</v>
      </c>
      <c r="C15" s="11" t="n">
        <v>0.07</v>
      </c>
      <c r="H15" s="5"/>
    </row>
    <row r="17" customFormat="false" ht="15" hidden="false" customHeight="false" outlineLevel="0" collapsed="false">
      <c r="B17" s="3" t="s">
        <v>35</v>
      </c>
    </row>
    <row r="18" customFormat="false" ht="27.75" hidden="false" customHeight="true" outlineLevel="0" collapsed="false">
      <c r="B18" s="7" t="s">
        <v>36</v>
      </c>
      <c r="C18" s="7" t="s">
        <v>20</v>
      </c>
      <c r="D18" s="7" t="s">
        <v>37</v>
      </c>
      <c r="E18" s="7" t="s">
        <v>3</v>
      </c>
      <c r="H18" s="7" t="s">
        <v>38</v>
      </c>
    </row>
    <row r="19" customFormat="false" ht="15" hidden="false" customHeight="false" outlineLevel="0" collapsed="false">
      <c r="B19" s="8" t="s">
        <v>39</v>
      </c>
      <c r="C19" s="13" t="n">
        <f aca="false">$C$8*12</f>
        <v>2976</v>
      </c>
      <c r="D19" s="14" t="n">
        <f aca="false">$C$9</f>
        <v>1640</v>
      </c>
      <c r="E19" s="15" t="n">
        <f aca="false">C19*D19</f>
        <v>4880640</v>
      </c>
      <c r="H19" s="5" t="s">
        <v>40</v>
      </c>
    </row>
    <row r="20" customFormat="false" ht="15" hidden="false" customHeight="false" outlineLevel="0" collapsed="false">
      <c r="B20" s="8" t="s">
        <v>41</v>
      </c>
      <c r="C20" s="13" t="n">
        <f aca="false">$C$8*(1-$C$12)*12</f>
        <v>1547.52</v>
      </c>
      <c r="D20" s="14" t="n">
        <f aca="false">$C$9*$C$14</f>
        <v>57.4</v>
      </c>
      <c r="E20" s="15" t="n">
        <f aca="false">C20*D20</f>
        <v>88827.648</v>
      </c>
      <c r="H20" s="5" t="s">
        <v>42</v>
      </c>
    </row>
    <row r="21" customFormat="false" ht="15" hidden="false" customHeight="false" outlineLevel="0" collapsed="false">
      <c r="B21" s="8" t="s">
        <v>43</v>
      </c>
      <c r="C21" s="13" t="n">
        <f aca="false">$C$8*$C$12*12</f>
        <v>1428.48</v>
      </c>
      <c r="D21" s="14" t="n">
        <f aca="false">$C$9*$C$15</f>
        <v>114.8</v>
      </c>
      <c r="E21" s="15" t="n">
        <f aca="false">C21*D21</f>
        <v>163989.504</v>
      </c>
      <c r="H21" s="5" t="s">
        <v>44</v>
      </c>
    </row>
    <row r="22" customFormat="false" ht="15" hidden="false" customHeight="false" outlineLevel="0" collapsed="false">
      <c r="B22" s="8" t="s">
        <v>45</v>
      </c>
      <c r="C22" s="13" t="n">
        <f aca="false">$C$8*12</f>
        <v>2976</v>
      </c>
      <c r="D22" s="14" t="n">
        <f aca="false">-$C$9*(1-$C$11)</f>
        <v>-90.2000000000001</v>
      </c>
      <c r="E22" s="15" t="n">
        <f aca="false">C22*D22</f>
        <v>-268435.2</v>
      </c>
      <c r="H22" s="5" t="s">
        <v>46</v>
      </c>
    </row>
    <row r="23" customFormat="false" ht="22.35" hidden="false" customHeight="false" outlineLevel="0" collapsed="false">
      <c r="B23" s="8" t="s">
        <v>47</v>
      </c>
      <c r="C23" s="13" t="n">
        <f aca="false">$C$8*$C$12</f>
        <v>119.04</v>
      </c>
      <c r="D23" s="14" t="n">
        <f aca="false">-$C$9*12/365*$C$13</f>
        <v>-970.520547945206</v>
      </c>
      <c r="E23" s="15" t="n">
        <f aca="false">C23*D23</f>
        <v>-115530.766027397</v>
      </c>
      <c r="H23" s="5" t="s">
        <v>48</v>
      </c>
    </row>
    <row r="24" customFormat="false" ht="15" hidden="false" customHeight="false" outlineLevel="0" collapsed="false">
      <c r="B24" s="8" t="s">
        <v>49</v>
      </c>
      <c r="C24" s="13" t="n">
        <f aca="false">$C$8*$C$12</f>
        <v>119.04</v>
      </c>
      <c r="D24" s="14" t="n">
        <f aca="false">-$C$9*0.5</f>
        <v>-820</v>
      </c>
      <c r="E24" s="15" t="n">
        <f aca="false">C24*D24</f>
        <v>-97612.8</v>
      </c>
      <c r="H24" s="5" t="s">
        <v>50</v>
      </c>
    </row>
    <row r="25" customFormat="false" ht="15" hidden="false" customHeight="false" outlineLevel="0" collapsed="false">
      <c r="B25" s="8" t="s">
        <v>51</v>
      </c>
      <c r="C25" s="13" t="n">
        <f aca="false">$C$8*12</f>
        <v>2976</v>
      </c>
      <c r="D25" s="14" t="n">
        <f aca="false">-$C$9*0.012</f>
        <v>-19.68</v>
      </c>
      <c r="E25" s="15" t="n">
        <f aca="false">C25*D25</f>
        <v>-58567.68</v>
      </c>
      <c r="H25" s="5" t="s">
        <v>52</v>
      </c>
    </row>
    <row r="26" customFormat="false" ht="15" hidden="false" customHeight="false" outlineLevel="0" collapsed="false">
      <c r="B26" s="8" t="s">
        <v>53</v>
      </c>
      <c r="C26" s="13" t="n">
        <f aca="false">$C$8*12</f>
        <v>2976</v>
      </c>
      <c r="D26" s="16" t="n">
        <v>85</v>
      </c>
      <c r="E26" s="15" t="n">
        <f aca="false">C26*D26</f>
        <v>252960</v>
      </c>
      <c r="H26" s="5" t="s">
        <v>54</v>
      </c>
    </row>
    <row r="27" customFormat="false" ht="15" hidden="false" customHeight="false" outlineLevel="0" collapsed="false">
      <c r="B27" s="17" t="s">
        <v>55</v>
      </c>
      <c r="E27" s="18" t="n">
        <f aca="false">SUM(E19:E26)</f>
        <v>4846270.7059726</v>
      </c>
    </row>
    <row r="29" customFormat="false" ht="15" hidden="false" customHeight="false" outlineLevel="0" collapsed="false">
      <c r="B29" s="3" t="s">
        <v>56</v>
      </c>
    </row>
    <row r="30" customFormat="false" ht="27.75" hidden="false" customHeight="true" outlineLevel="0" collapsed="false">
      <c r="B30" s="7" t="s">
        <v>36</v>
      </c>
      <c r="C30" s="7" t="s">
        <v>20</v>
      </c>
      <c r="D30" s="7" t="s">
        <v>37</v>
      </c>
      <c r="E30" s="7" t="s">
        <v>3</v>
      </c>
      <c r="H30" s="7" t="s">
        <v>38</v>
      </c>
    </row>
    <row r="31" customFormat="false" ht="15" hidden="false" customHeight="false" outlineLevel="0" collapsed="false">
      <c r="B31" s="8" t="s">
        <v>57</v>
      </c>
      <c r="C31" s="13" t="n">
        <f aca="false">$C$8*$C$11</f>
        <v>234.36</v>
      </c>
      <c r="D31" s="19" t="n">
        <v>-1320</v>
      </c>
      <c r="E31" s="15" t="n">
        <f aca="false">C31*D31</f>
        <v>-309355.2</v>
      </c>
      <c r="H31" s="5" t="s">
        <v>58</v>
      </c>
    </row>
    <row r="32" customFormat="false" ht="15" hidden="false" customHeight="false" outlineLevel="0" collapsed="false">
      <c r="B32" s="8" t="s">
        <v>59</v>
      </c>
      <c r="C32" s="13" t="n">
        <f aca="false">$C$8</f>
        <v>248</v>
      </c>
      <c r="D32" s="19" t="n">
        <v>-410</v>
      </c>
      <c r="E32" s="15" t="n">
        <f aca="false">C32*D32</f>
        <v>-101680</v>
      </c>
      <c r="H32" s="5" t="s">
        <v>60</v>
      </c>
    </row>
    <row r="33" customFormat="false" ht="15" hidden="false" customHeight="false" outlineLevel="0" collapsed="false">
      <c r="B33" s="8" t="s">
        <v>61</v>
      </c>
      <c r="C33" s="13" t="n">
        <f aca="false">$C$8</f>
        <v>248</v>
      </c>
      <c r="D33" s="19" t="n">
        <v>-780</v>
      </c>
      <c r="E33" s="15" t="n">
        <f aca="false">C33*D33</f>
        <v>-193440</v>
      </c>
      <c r="H33" s="5" t="s">
        <v>62</v>
      </c>
    </row>
    <row r="34" customFormat="false" ht="15" hidden="false" customHeight="false" outlineLevel="0" collapsed="false">
      <c r="B34" s="8" t="s">
        <v>63</v>
      </c>
      <c r="C34" s="13" t="n">
        <f aca="false">$C$8*$C$12</f>
        <v>119.04</v>
      </c>
      <c r="D34" s="19" t="n">
        <v>-1450</v>
      </c>
      <c r="E34" s="15" t="n">
        <f aca="false">C34*D34</f>
        <v>-172608</v>
      </c>
      <c r="H34" s="5" t="s">
        <v>64</v>
      </c>
    </row>
    <row r="35" customFormat="false" ht="15" hidden="false" customHeight="false" outlineLevel="0" collapsed="false">
      <c r="B35" s="8" t="s">
        <v>65</v>
      </c>
      <c r="C35" s="13" t="n">
        <f aca="false">$C$8</f>
        <v>248</v>
      </c>
      <c r="D35" s="19" t="n">
        <v>-690</v>
      </c>
      <c r="E35" s="15" t="n">
        <f aca="false">C35*D35</f>
        <v>-171120</v>
      </c>
      <c r="H35" s="5" t="s">
        <v>66</v>
      </c>
    </row>
    <row r="36" customFormat="false" ht="15" hidden="false" customHeight="false" outlineLevel="0" collapsed="false">
      <c r="B36" s="8" t="s">
        <v>67</v>
      </c>
      <c r="C36" s="9" t="n">
        <v>1</v>
      </c>
      <c r="D36" s="19" t="n">
        <v>-604000</v>
      </c>
      <c r="E36" s="15" t="n">
        <f aca="false">C36*D36</f>
        <v>-604000</v>
      </c>
      <c r="H36" s="5" t="s">
        <v>68</v>
      </c>
    </row>
    <row r="37" customFormat="false" ht="15" hidden="false" customHeight="false" outlineLevel="0" collapsed="false">
      <c r="B37" s="8" t="s">
        <v>69</v>
      </c>
      <c r="C37" s="13" t="n">
        <f aca="false">$C$8</f>
        <v>248</v>
      </c>
      <c r="D37" s="19" t="n">
        <v>-410</v>
      </c>
      <c r="E37" s="15" t="n">
        <f aca="false">C37*D37</f>
        <v>-101680</v>
      </c>
      <c r="H37" s="5" t="s">
        <v>70</v>
      </c>
    </row>
    <row r="38" customFormat="false" ht="15" hidden="false" customHeight="false" outlineLevel="0" collapsed="false">
      <c r="B38" s="8" t="s">
        <v>71</v>
      </c>
      <c r="C38" s="13" t="n">
        <f aca="false">$C$8*$C$12</f>
        <v>119.04</v>
      </c>
      <c r="D38" s="19" t="n">
        <v>-260</v>
      </c>
      <c r="E38" s="15" t="n">
        <f aca="false">C38*D38</f>
        <v>-30950.4</v>
      </c>
      <c r="H38" s="5" t="s">
        <v>72</v>
      </c>
    </row>
    <row r="39" customFormat="false" ht="15" hidden="false" customHeight="false" outlineLevel="0" collapsed="false">
      <c r="B39" s="8" t="s">
        <v>73</v>
      </c>
      <c r="C39" s="9" t="n">
        <v>1</v>
      </c>
      <c r="D39" s="19" t="n">
        <v>-96000</v>
      </c>
      <c r="E39" s="15" t="n">
        <f aca="false">C39*D39</f>
        <v>-96000</v>
      </c>
      <c r="H39" s="5"/>
    </row>
    <row r="40" customFormat="false" ht="15" hidden="false" customHeight="false" outlineLevel="0" collapsed="false">
      <c r="B40" s="8" t="s">
        <v>74</v>
      </c>
      <c r="C40" s="13" t="n">
        <f aca="false">$E$27</f>
        <v>4846270.7059726</v>
      </c>
      <c r="D40" s="19" t="n">
        <v>-0.03</v>
      </c>
      <c r="E40" s="15" t="n">
        <f aca="false">C40*D40</f>
        <v>-145388.121179178</v>
      </c>
      <c r="H40" s="5" t="s">
        <v>75</v>
      </c>
    </row>
    <row r="41" customFormat="false" ht="15" hidden="false" customHeight="false" outlineLevel="0" collapsed="false">
      <c r="B41" s="17" t="s">
        <v>76</v>
      </c>
      <c r="E41" s="18" t="n">
        <f aca="false">SUM(E31:E40)</f>
        <v>-1926221.72117918</v>
      </c>
    </row>
    <row r="42" customFormat="false" ht="15" hidden="false" customHeight="false" outlineLevel="0" collapsed="false">
      <c r="B42" s="17" t="s">
        <v>77</v>
      </c>
      <c r="E42" s="18" t="n">
        <f aca="false">$E$27+$E$41</f>
        <v>2920048.98479342</v>
      </c>
    </row>
    <row r="44" customFormat="false" ht="26.85" hidden="false" customHeight="false" outlineLevel="0" collapsed="false">
      <c r="B44" s="3" t="s">
        <v>78</v>
      </c>
    </row>
    <row r="45" customFormat="false" ht="27.75" hidden="false" customHeight="true" outlineLevel="0" collapsed="false">
      <c r="B45" s="7" t="s">
        <v>79</v>
      </c>
      <c r="C45" s="7" t="s">
        <v>23</v>
      </c>
      <c r="D45" s="7" t="s">
        <v>80</v>
      </c>
      <c r="E45" s="7" t="s">
        <v>3</v>
      </c>
      <c r="H45" s="7" t="s">
        <v>22</v>
      </c>
    </row>
    <row r="46" customFormat="false" ht="22.35" hidden="false" customHeight="false" outlineLevel="0" collapsed="false">
      <c r="B46" s="8" t="s">
        <v>81</v>
      </c>
      <c r="C46" s="9" t="n">
        <v>72</v>
      </c>
      <c r="D46" s="10" t="n">
        <v>-14500</v>
      </c>
      <c r="E46" s="15" t="n">
        <f aca="false">C46*D46</f>
        <v>-1044000</v>
      </c>
      <c r="H46" s="5" t="s">
        <v>82</v>
      </c>
    </row>
    <row r="47" customFormat="false" ht="15" hidden="false" customHeight="false" outlineLevel="0" collapsed="false">
      <c r="B47" s="8" t="s">
        <v>83</v>
      </c>
      <c r="C47" s="9" t="n">
        <v>1</v>
      </c>
      <c r="D47" s="10" t="n">
        <v>-385000</v>
      </c>
      <c r="E47" s="15" t="n">
        <f aca="false">C47*D47</f>
        <v>-385000</v>
      </c>
      <c r="H47" s="5"/>
    </row>
    <row r="48" customFormat="false" ht="22.35" hidden="false" customHeight="false" outlineLevel="0" collapsed="false">
      <c r="B48" s="8" t="s">
        <v>84</v>
      </c>
      <c r="C48" s="9" t="n">
        <v>1</v>
      </c>
      <c r="D48" s="10" t="n">
        <v>-240000</v>
      </c>
      <c r="E48" s="15" t="n">
        <f aca="false">C48*D48</f>
        <v>-240000</v>
      </c>
      <c r="H48" s="5" t="s">
        <v>85</v>
      </c>
    </row>
    <row r="49" customFormat="false" ht="22.35" hidden="false" customHeight="false" outlineLevel="0" collapsed="false">
      <c r="B49" s="8" t="s">
        <v>86</v>
      </c>
      <c r="C49" s="9" t="n">
        <v>1</v>
      </c>
      <c r="D49" s="10" t="n">
        <v>-92000</v>
      </c>
      <c r="E49" s="15" t="n">
        <f aca="false">C49*D49</f>
        <v>-92000</v>
      </c>
      <c r="H49" s="5" t="s">
        <v>87</v>
      </c>
    </row>
    <row r="50" customFormat="false" ht="15" hidden="false" customHeight="false" outlineLevel="0" collapsed="false">
      <c r="B50" s="17" t="s">
        <v>88</v>
      </c>
      <c r="E50" s="18" t="n">
        <f aca="false">SUM(E46:E49)</f>
        <v>-1761000</v>
      </c>
    </row>
    <row r="52" customFormat="false" ht="15" hidden="false" customHeight="false" outlineLevel="0" collapsed="false">
      <c r="B52" s="3" t="s">
        <v>89</v>
      </c>
    </row>
    <row r="53" customFormat="false" ht="27.75" hidden="false" customHeight="true" outlineLevel="0" collapsed="false">
      <c r="B53" s="7"/>
      <c r="C53" s="7" t="s">
        <v>21</v>
      </c>
      <c r="H53" s="7" t="s">
        <v>22</v>
      </c>
    </row>
    <row r="54" customFormat="false" ht="15" hidden="false" customHeight="false" outlineLevel="0" collapsed="false">
      <c r="B54" s="8" t="s">
        <v>55</v>
      </c>
      <c r="C54" s="15" t="n">
        <f aca="false">$E$27</f>
        <v>4846270.7059726</v>
      </c>
      <c r="H54" s="5"/>
    </row>
    <row r="55" customFormat="false" ht="15" hidden="false" customHeight="false" outlineLevel="0" collapsed="false">
      <c r="B55" s="8" t="s">
        <v>90</v>
      </c>
      <c r="C55" s="20" t="n">
        <f aca="false">IFERROR(-$E$41/$E$27,0)</f>
        <v>0.397464738980693</v>
      </c>
      <c r="H55" s="5"/>
    </row>
    <row r="56" customFormat="false" ht="15" hidden="false" customHeight="false" outlineLevel="0" collapsed="false">
      <c r="B56" s="8" t="s">
        <v>77</v>
      </c>
      <c r="C56" s="15" t="n">
        <f aca="false">$E$42</f>
        <v>2920048.98479342</v>
      </c>
      <c r="H56" s="5"/>
    </row>
    <row r="57" customFormat="false" ht="15" hidden="false" customHeight="false" outlineLevel="0" collapsed="false">
      <c r="B57" s="8" t="s">
        <v>91</v>
      </c>
      <c r="C57" s="15" t="n">
        <f aca="false">IFERROR($E$42/$C$8,0)</f>
        <v>11774.3910677154</v>
      </c>
      <c r="H57" s="5"/>
    </row>
    <row r="58" customFormat="false" ht="15" hidden="false" customHeight="false" outlineLevel="0" collapsed="false">
      <c r="B58" s="8" t="s">
        <v>92</v>
      </c>
      <c r="C58" s="15" t="n">
        <f aca="false">$E$50</f>
        <v>-1761000</v>
      </c>
      <c r="H58" s="5"/>
    </row>
    <row r="59" customFormat="false" ht="22.35" hidden="false" customHeight="false" outlineLevel="0" collapsed="false">
      <c r="B59" s="8" t="s">
        <v>93</v>
      </c>
      <c r="C59" s="15" t="n">
        <f aca="false">$E$42+$E$50</f>
        <v>1159048.98479342</v>
      </c>
      <c r="H59" s="5" t="s">
        <v>94</v>
      </c>
    </row>
    <row r="60" customFormat="false" ht="32.8" hidden="false" customHeight="false" outlineLevel="0" collapsed="false">
      <c r="B60" s="8" t="s">
        <v>95</v>
      </c>
      <c r="C60" s="20" t="n">
        <f aca="false">IFERROR(($E$27-E26)/($C$8*12*$C$10),0)</f>
        <v>0.864678531138483</v>
      </c>
      <c r="H60" s="5" t="s">
        <v>96</v>
      </c>
    </row>
    <row r="61" customFormat="false" ht="22.35" hidden="false" customHeight="false" outlineLevel="0" collapsed="false">
      <c r="B61" s="8" t="s">
        <v>97</v>
      </c>
      <c r="C61" s="20" t="n">
        <f aca="false">IFERROR(1-$C$9/$C$10,0)</f>
        <v>0.0812324929971989</v>
      </c>
      <c r="H61" s="5" t="s">
        <v>98</v>
      </c>
    </row>
  </sheetData>
  <mergeCells count="1">
    <mergeCell ref="B4:H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K4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4"/>
    <col collapsed="false" customWidth="true" hidden="false" outlineLevel="0" max="6" min="3" style="0" width="14"/>
    <col collapsed="false" customWidth="true" hidden="false" outlineLevel="0" max="7" min="7" style="0" width="15"/>
    <col collapsed="false" customWidth="true" hidden="false" outlineLevel="0" max="8" min="8" style="0" width="18"/>
    <col collapsed="false" customWidth="true" hidden="false" outlineLevel="0" max="11" min="9" style="0" width="30"/>
  </cols>
  <sheetData>
    <row r="2" customFormat="false" ht="17.35" hidden="false" customHeight="false" outlineLevel="0" collapsed="false">
      <c r="B2" s="1" t="s">
        <v>99</v>
      </c>
    </row>
    <row r="4" customFormat="false" ht="45.75" hidden="false" customHeight="true" outlineLevel="0" collapsed="false">
      <c r="B4" s="6" t="s">
        <v>100</v>
      </c>
      <c r="C4" s="6"/>
      <c r="D4" s="6"/>
      <c r="E4" s="6"/>
      <c r="F4" s="6"/>
      <c r="G4" s="6"/>
      <c r="H4" s="6"/>
      <c r="I4" s="6"/>
      <c r="J4" s="6"/>
      <c r="K4" s="6"/>
    </row>
    <row r="6" customFormat="false" ht="15" hidden="false" customHeight="false" outlineLevel="0" collapsed="false">
      <c r="B6" s="3" t="s">
        <v>101</v>
      </c>
    </row>
    <row r="7" customFormat="false" ht="27.75" hidden="false" customHeight="true" outlineLevel="0" collapsed="false">
      <c r="B7" s="7"/>
      <c r="C7" s="7" t="s">
        <v>21</v>
      </c>
      <c r="K7" s="7" t="s">
        <v>22</v>
      </c>
    </row>
    <row r="8" customFormat="false" ht="15" hidden="false" customHeight="false" outlineLevel="0" collapsed="false">
      <c r="B8" s="8" t="s">
        <v>102</v>
      </c>
      <c r="C8" s="10" t="n">
        <v>10000</v>
      </c>
      <c r="K8" s="5" t="s">
        <v>103</v>
      </c>
    </row>
    <row r="9" customFormat="false" ht="15" hidden="false" customHeight="false" outlineLevel="0" collapsed="false">
      <c r="B9" s="8" t="s">
        <v>104</v>
      </c>
      <c r="C9" s="11" t="n">
        <v>0.03</v>
      </c>
      <c r="K9" s="5" t="s">
        <v>105</v>
      </c>
    </row>
    <row r="11" customFormat="false" ht="27.75" hidden="false" customHeight="true" outlineLevel="0" collapsed="false">
      <c r="B11" s="7" t="s">
        <v>36</v>
      </c>
      <c r="C11" s="7" t="s">
        <v>3</v>
      </c>
      <c r="D11" s="7" t="s">
        <v>106</v>
      </c>
      <c r="E11" s="7" t="s">
        <v>5</v>
      </c>
      <c r="F11" s="7" t="s">
        <v>107</v>
      </c>
      <c r="G11" s="7" t="s">
        <v>108</v>
      </c>
      <c r="H11" s="7" t="s">
        <v>109</v>
      </c>
      <c r="I11" s="7" t="s">
        <v>110</v>
      </c>
      <c r="J11" s="7" t="s">
        <v>111</v>
      </c>
      <c r="K11" s="7" t="s">
        <v>112</v>
      </c>
    </row>
    <row r="12" customFormat="false" ht="35.05" hidden="false" customHeight="false" outlineLevel="0" collapsed="false">
      <c r="B12" s="8" t="s">
        <v>113</v>
      </c>
      <c r="C12" s="10" t="n">
        <v>4880640</v>
      </c>
      <c r="D12" s="10" t="n">
        <v>4802100</v>
      </c>
      <c r="E12" s="15" t="n">
        <f aca="false">D12-C12</f>
        <v>-78540</v>
      </c>
      <c r="F12" s="20" t="n">
        <f aca="false">IFERROR(E12/ABS(C12),0)</f>
        <v>-0.0160921518489378</v>
      </c>
      <c r="G12" s="4" t="str">
        <f aca="false">IF(OR(ABS(E12)&gt;=$C$8,ABS(F12)&gt;=$C$9),"FLAG","")</f>
        <v>FLAG</v>
      </c>
      <c r="H12" s="21" t="s">
        <v>114</v>
      </c>
      <c r="I12" s="22" t="s">
        <v>115</v>
      </c>
      <c r="J12" s="22" t="s">
        <v>116</v>
      </c>
      <c r="K12" s="22" t="s">
        <v>117</v>
      </c>
    </row>
    <row r="13" customFormat="false" ht="35.05" hidden="false" customHeight="false" outlineLevel="0" collapsed="false">
      <c r="B13" s="8" t="s">
        <v>45</v>
      </c>
      <c r="C13" s="10" t="n">
        <v>-268435</v>
      </c>
      <c r="D13" s="10" t="n">
        <v>-311400</v>
      </c>
      <c r="E13" s="15" t="n">
        <f aca="false">D13-C13</f>
        <v>-42965</v>
      </c>
      <c r="F13" s="20" t="n">
        <f aca="false">IFERROR(E13/ABS(C13),0)</f>
        <v>-0.160057369568052</v>
      </c>
      <c r="G13" s="4" t="str">
        <f aca="false">IF(OR(ABS(E13)&gt;=$C$8,ABS(F13)&gt;=$C$9),"FLAG","")</f>
        <v>FLAG</v>
      </c>
      <c r="H13" s="21" t="s">
        <v>114</v>
      </c>
      <c r="I13" s="22" t="s">
        <v>118</v>
      </c>
      <c r="J13" s="22" t="s">
        <v>119</v>
      </c>
      <c r="K13" s="22" t="s">
        <v>120</v>
      </c>
    </row>
    <row r="14" customFormat="false" ht="35.05" hidden="false" customHeight="false" outlineLevel="0" collapsed="false">
      <c r="B14" s="8" t="s">
        <v>49</v>
      </c>
      <c r="C14" s="10" t="n">
        <v>-97613</v>
      </c>
      <c r="D14" s="10" t="n">
        <v>-142800</v>
      </c>
      <c r="E14" s="15" t="n">
        <f aca="false">D14-C14</f>
        <v>-45187</v>
      </c>
      <c r="F14" s="20" t="n">
        <f aca="false">IFERROR(E14/ABS(C14),0)</f>
        <v>-0.46291989796441</v>
      </c>
      <c r="G14" s="4" t="str">
        <f aca="false">IF(OR(ABS(E14)&gt;=$C$8,ABS(F14)&gt;=$C$9),"FLAG","")</f>
        <v>FLAG</v>
      </c>
      <c r="H14" s="21" t="s">
        <v>37</v>
      </c>
      <c r="I14" s="22" t="s">
        <v>121</v>
      </c>
      <c r="J14" s="22" t="s">
        <v>122</v>
      </c>
      <c r="K14" s="22" t="s">
        <v>123</v>
      </c>
    </row>
    <row r="15" customFormat="false" ht="23.85" hidden="false" customHeight="false" outlineLevel="0" collapsed="false">
      <c r="B15" s="8" t="s">
        <v>53</v>
      </c>
      <c r="C15" s="10" t="n">
        <v>252960</v>
      </c>
      <c r="D15" s="10" t="n">
        <v>268400</v>
      </c>
      <c r="E15" s="15" t="n">
        <f aca="false">D15-C15</f>
        <v>15440</v>
      </c>
      <c r="F15" s="20" t="n">
        <f aca="false">IFERROR(E15/ABS(C15),0)</f>
        <v>0.0610373181530677</v>
      </c>
      <c r="G15" s="4" t="str">
        <f aca="false">IF(OR(ABS(E15)&gt;=$C$8,ABS(F15)&gt;=$C$9),"FLAG","")</f>
        <v>FLAG</v>
      </c>
      <c r="H15" s="21" t="s">
        <v>37</v>
      </c>
      <c r="I15" s="22" t="s">
        <v>124</v>
      </c>
      <c r="J15" s="22" t="s">
        <v>125</v>
      </c>
      <c r="K15" s="22" t="s">
        <v>126</v>
      </c>
    </row>
    <row r="16" customFormat="false" ht="15" hidden="false" customHeight="false" outlineLevel="0" collapsed="false">
      <c r="B16" s="8" t="s">
        <v>57</v>
      </c>
      <c r="C16" s="10" t="n">
        <v>-309355</v>
      </c>
      <c r="D16" s="10" t="n">
        <v>-306200</v>
      </c>
      <c r="E16" s="15" t="n">
        <f aca="false">D16-C16</f>
        <v>3155</v>
      </c>
      <c r="F16" s="20" t="n">
        <f aca="false">IFERROR(E16/ABS(C16),0)</f>
        <v>0.0101986391039421</v>
      </c>
      <c r="G16" s="4" t="str">
        <f aca="false">IF(OR(ABS(E16)&gt;=$C$8,ABS(F16)&gt;=$C$9),"FLAG","")</f>
        <v/>
      </c>
      <c r="H16" s="21" t="s">
        <v>37</v>
      </c>
      <c r="I16" s="22"/>
      <c r="J16" s="22" t="s">
        <v>127</v>
      </c>
      <c r="K16" s="22" t="s">
        <v>127</v>
      </c>
    </row>
    <row r="17" customFormat="false" ht="46.25" hidden="false" customHeight="false" outlineLevel="0" collapsed="false">
      <c r="B17" s="8" t="s">
        <v>61</v>
      </c>
      <c r="C17" s="10" t="n">
        <v>-193440</v>
      </c>
      <c r="D17" s="10" t="n">
        <v>-241900</v>
      </c>
      <c r="E17" s="15" t="n">
        <f aca="false">D17-C17</f>
        <v>-48460</v>
      </c>
      <c r="F17" s="20" t="n">
        <f aca="false">IFERROR(E17/ABS(C17),0)</f>
        <v>-0.250516956162117</v>
      </c>
      <c r="G17" s="4" t="str">
        <f aca="false">IF(OR(ABS(E17)&gt;=$C$8,ABS(F17)&gt;=$C$9),"FLAG","")</f>
        <v>FLAG</v>
      </c>
      <c r="H17" s="21" t="s">
        <v>37</v>
      </c>
      <c r="I17" s="22" t="s">
        <v>128</v>
      </c>
      <c r="J17" s="22" t="s">
        <v>129</v>
      </c>
      <c r="K17" s="22" t="s">
        <v>130</v>
      </c>
    </row>
    <row r="18" customFormat="false" ht="15" hidden="false" customHeight="false" outlineLevel="0" collapsed="false">
      <c r="B18" s="8" t="s">
        <v>65</v>
      </c>
      <c r="C18" s="10" t="n">
        <v>-171120</v>
      </c>
      <c r="D18" s="10" t="n">
        <v>-166800</v>
      </c>
      <c r="E18" s="15" t="n">
        <f aca="false">D18-C18</f>
        <v>4320</v>
      </c>
      <c r="F18" s="20" t="n">
        <f aca="false">IFERROR(E18/ABS(C18),0)</f>
        <v>0.0252454417952314</v>
      </c>
      <c r="G18" s="4" t="str">
        <f aca="false">IF(OR(ABS(E18)&gt;=$C$8,ABS(F18)&gt;=$C$9),"FLAG","")</f>
        <v/>
      </c>
      <c r="H18" s="21" t="s">
        <v>37</v>
      </c>
      <c r="I18" s="22"/>
      <c r="J18" s="22" t="s">
        <v>127</v>
      </c>
      <c r="K18" s="22" t="s">
        <v>127</v>
      </c>
    </row>
    <row r="19" customFormat="false" ht="35.05" hidden="false" customHeight="false" outlineLevel="0" collapsed="false">
      <c r="B19" s="8" t="s">
        <v>67</v>
      </c>
      <c r="C19" s="10" t="n">
        <v>-604000</v>
      </c>
      <c r="D19" s="10" t="n">
        <v>-671500</v>
      </c>
      <c r="E19" s="15" t="n">
        <f aca="false">D19-C19</f>
        <v>-67500</v>
      </c>
      <c r="F19" s="20" t="n">
        <f aca="false">IFERROR(E19/ABS(C19),0)</f>
        <v>-0.111754966887417</v>
      </c>
      <c r="G19" s="4" t="str">
        <f aca="false">IF(OR(ABS(E19)&gt;=$C$8,ABS(F19)&gt;=$C$9),"FLAG","")</f>
        <v>FLAG</v>
      </c>
      <c r="H19" s="21" t="s">
        <v>131</v>
      </c>
      <c r="I19" s="22" t="s">
        <v>132</v>
      </c>
      <c r="J19" s="22" t="s">
        <v>133</v>
      </c>
      <c r="K19" s="22" t="s">
        <v>134</v>
      </c>
    </row>
    <row r="20" customFormat="false" ht="35.05" hidden="false" customHeight="false" outlineLevel="0" collapsed="false">
      <c r="B20" s="8" t="s">
        <v>69</v>
      </c>
      <c r="C20" s="10" t="n">
        <v>-101680</v>
      </c>
      <c r="D20" s="10" t="n">
        <v>-118400</v>
      </c>
      <c r="E20" s="15" t="n">
        <f aca="false">D20-C20</f>
        <v>-16720</v>
      </c>
      <c r="F20" s="20" t="n">
        <f aca="false">IFERROR(E20/ABS(C20),0)</f>
        <v>-0.164437450826121</v>
      </c>
      <c r="G20" s="4" t="str">
        <f aca="false">IF(OR(ABS(E20)&gt;=$C$8,ABS(F20)&gt;=$C$9),"FLAG","")</f>
        <v>FLAG</v>
      </c>
      <c r="H20" s="21" t="s">
        <v>131</v>
      </c>
      <c r="I20" s="22" t="s">
        <v>135</v>
      </c>
      <c r="J20" s="22" t="s">
        <v>136</v>
      </c>
      <c r="K20" s="22" t="s">
        <v>137</v>
      </c>
    </row>
    <row r="21" customFormat="false" ht="15" hidden="false" customHeight="false" outlineLevel="0" collapsed="false">
      <c r="B21" s="8" t="s">
        <v>71</v>
      </c>
      <c r="C21" s="10" t="n">
        <v>-30950</v>
      </c>
      <c r="D21" s="10" t="n">
        <v>-38600</v>
      </c>
      <c r="E21" s="15" t="n">
        <f aca="false">D21-C21</f>
        <v>-7650</v>
      </c>
      <c r="F21" s="20" t="n">
        <f aca="false">IFERROR(E21/ABS(C21),0)</f>
        <v>-0.247172859450727</v>
      </c>
      <c r="G21" s="4" t="str">
        <f aca="false">IF(OR(ABS(E21)&gt;=$C$8,ABS(F21)&gt;=$C$9),"FLAG","")</f>
        <v>FLAG</v>
      </c>
      <c r="H21" s="21" t="s">
        <v>114</v>
      </c>
      <c r="I21" s="22"/>
      <c r="J21" s="22" t="s">
        <v>127</v>
      </c>
      <c r="K21" s="22" t="s">
        <v>127</v>
      </c>
    </row>
    <row r="22" customFormat="false" ht="15" hidden="false" customHeight="false" outlineLevel="0" collapsed="false">
      <c r="B22" s="8" t="s">
        <v>73</v>
      </c>
      <c r="C22" s="10" t="n">
        <v>-96000</v>
      </c>
      <c r="D22" s="10" t="n">
        <v>-93100</v>
      </c>
      <c r="E22" s="15" t="n">
        <f aca="false">D22-C22</f>
        <v>2900</v>
      </c>
      <c r="F22" s="20" t="n">
        <f aca="false">IFERROR(E22/ABS(C22),0)</f>
        <v>0.0302083333333333</v>
      </c>
      <c r="G22" s="4" t="str">
        <f aca="false">IF(OR(ABS(E22)&gt;=$C$8,ABS(F22)&gt;=$C$9),"FLAG","")</f>
        <v>FLAG</v>
      </c>
      <c r="H22" s="21" t="s">
        <v>138</v>
      </c>
      <c r="I22" s="22"/>
      <c r="J22" s="22" t="s">
        <v>127</v>
      </c>
      <c r="K22" s="22" t="s">
        <v>127</v>
      </c>
    </row>
    <row r="23" customFormat="false" ht="15" hidden="false" customHeight="false" outlineLevel="0" collapsed="false">
      <c r="B23" s="8" t="s">
        <v>74</v>
      </c>
      <c r="C23" s="10" t="n">
        <v>-145388</v>
      </c>
      <c r="D23" s="10" t="n">
        <v>-144100</v>
      </c>
      <c r="E23" s="15" t="n">
        <f aca="false">D23-C23</f>
        <v>1288</v>
      </c>
      <c r="F23" s="20" t="n">
        <f aca="false">IFERROR(E23/ABS(C23),0)</f>
        <v>0.00885905301675517</v>
      </c>
      <c r="G23" s="4" t="str">
        <f aca="false">IF(OR(ABS(E23)&gt;=$C$8,ABS(F23)&gt;=$C$9),"FLAG","")</f>
        <v/>
      </c>
      <c r="H23" s="21" t="s">
        <v>114</v>
      </c>
      <c r="I23" s="22"/>
      <c r="J23" s="22" t="s">
        <v>127</v>
      </c>
      <c r="K23" s="22" t="s">
        <v>127</v>
      </c>
    </row>
    <row r="24" customFormat="false" ht="15" hidden="false" customHeight="false" outlineLevel="0" collapsed="false">
      <c r="B24" s="17" t="s">
        <v>139</v>
      </c>
      <c r="C24" s="18" t="n">
        <f aca="false">SUM(C12:C23)</f>
        <v>3115619</v>
      </c>
      <c r="D24" s="18" t="n">
        <f aca="false">SUM(D12:D23)</f>
        <v>2835700</v>
      </c>
      <c r="E24" s="18" t="n">
        <f aca="false">SUM(E12:E23)</f>
        <v>-279919</v>
      </c>
      <c r="F24" s="23" t="n">
        <f aca="false">IFERROR(E24/ABS(C24),0)</f>
        <v>-0.0898437838516199</v>
      </c>
    </row>
    <row r="26" customFormat="false" ht="26.85" hidden="false" customHeight="false" outlineLevel="0" collapsed="false">
      <c r="B26" s="3" t="s">
        <v>140</v>
      </c>
    </row>
    <row r="27" customFormat="false" ht="27.75" hidden="false" customHeight="true" outlineLevel="0" collapsed="false">
      <c r="B27" s="7"/>
      <c r="C27" s="7" t="s">
        <v>21</v>
      </c>
      <c r="K27" s="7" t="s">
        <v>22</v>
      </c>
    </row>
    <row r="28" customFormat="false" ht="15" hidden="false" customHeight="false" outlineLevel="0" collapsed="false">
      <c r="B28" s="8" t="s">
        <v>141</v>
      </c>
      <c r="C28" s="15" t="n">
        <f aca="false">C24</f>
        <v>3115619</v>
      </c>
      <c r="K28" s="5"/>
    </row>
    <row r="29" customFormat="false" ht="15" hidden="false" customHeight="false" outlineLevel="0" collapsed="false">
      <c r="B29" s="8" t="s">
        <v>142</v>
      </c>
      <c r="C29" s="15" t="n">
        <f aca="false">D24</f>
        <v>2835700</v>
      </c>
      <c r="K29" s="5"/>
    </row>
    <row r="30" customFormat="false" ht="15" hidden="false" customHeight="false" outlineLevel="0" collapsed="false">
      <c r="B30" s="8" t="s">
        <v>143</v>
      </c>
      <c r="C30" s="15" t="n">
        <f aca="false">E24</f>
        <v>-279919</v>
      </c>
      <c r="K30" s="5"/>
    </row>
    <row r="31" customFormat="false" ht="15" hidden="false" customHeight="false" outlineLevel="0" collapsed="false">
      <c r="B31" s="8" t="s">
        <v>144</v>
      </c>
      <c r="C31" s="20" t="n">
        <f aca="false">IFERROR(E24/ABS(C24),0)</f>
        <v>-0.0898437838516199</v>
      </c>
      <c r="K31" s="5"/>
    </row>
    <row r="32" customFormat="false" ht="32.8" hidden="false" customHeight="false" outlineLevel="0" collapsed="false">
      <c r="B32" s="8" t="s">
        <v>145</v>
      </c>
      <c r="C32" s="24" t="n">
        <f aca="false">COUNTIF($G$12:$G$23,"FLAG")</f>
        <v>9</v>
      </c>
      <c r="K32" s="5" t="s">
        <v>146</v>
      </c>
    </row>
    <row r="33" customFormat="false" ht="22.35" hidden="false" customHeight="false" outlineLevel="0" collapsed="false">
      <c r="B33" s="8" t="s">
        <v>147</v>
      </c>
      <c r="C33" s="24" t="n">
        <f aca="false">SUMPRODUCT(($G$12:$G$23="FLAG")*(TRIM($I$12:$I$23)=""))</f>
        <v>2</v>
      </c>
      <c r="K33" s="5" t="s">
        <v>148</v>
      </c>
    </row>
    <row r="34" customFormat="false" ht="22.35" hidden="false" customHeight="false" outlineLevel="0" collapsed="false">
      <c r="B34" s="8" t="s">
        <v>149</v>
      </c>
      <c r="C34" s="15" t="n">
        <f aca="false">SUMIF($H$12:$H$23,"Structural",$E$12:$E$23)</f>
        <v>-84220</v>
      </c>
      <c r="K34" s="5" t="s">
        <v>150</v>
      </c>
    </row>
    <row r="35" customFormat="false" ht="15" hidden="false" customHeight="false" outlineLevel="0" collapsed="false">
      <c r="B35" s="8" t="s">
        <v>151</v>
      </c>
      <c r="C35" s="15" t="n">
        <f aca="false">SUMIF($H$12:$H$23,"Timing",$E$12:$E$23)</f>
        <v>2900</v>
      </c>
      <c r="K35" s="5" t="s">
        <v>152</v>
      </c>
    </row>
    <row r="36" customFormat="false" ht="15" hidden="false" customHeight="false" outlineLevel="0" collapsed="false">
      <c r="B36" s="8" t="s">
        <v>153</v>
      </c>
      <c r="C36" s="15" t="n">
        <f aca="false">SUMIF($H$12:$H$23,"Volume",$E$12:$E$23)</f>
        <v>-127867</v>
      </c>
      <c r="K36" s="5" t="s">
        <v>154</v>
      </c>
    </row>
    <row r="37" customFormat="false" ht="22.35" hidden="false" customHeight="false" outlineLevel="0" collapsed="false">
      <c r="B37" s="8" t="s">
        <v>155</v>
      </c>
      <c r="C37" s="15" t="n">
        <f aca="false">SUMIF($H$12:$H$23,"Rate",$E$12:$E$23)</f>
        <v>-70732</v>
      </c>
      <c r="K37" s="5" t="s">
        <v>156</v>
      </c>
    </row>
    <row r="38" customFormat="false" ht="15" hidden="false" customHeight="false" outlineLevel="0" collapsed="false">
      <c r="B38" s="8" t="s">
        <v>157</v>
      </c>
      <c r="C38" s="15" t="n">
        <f aca="false">SUMIF($H$12:$H$23,"Mix",$E$12:$E$23)</f>
        <v>0</v>
      </c>
      <c r="K38" s="5"/>
    </row>
    <row r="39" customFormat="false" ht="22.35" hidden="false" customHeight="false" outlineLevel="0" collapsed="false">
      <c r="B39" s="8" t="s">
        <v>158</v>
      </c>
      <c r="C39" s="15" t="n">
        <f aca="false">SUMIF($H$12:$H$23,"Structural",$E$12:$E$23)+SUMIF($H$12:$H$23,"Timing",$E$12:$E$23)+SUMIF($H$12:$H$23,"Volume",$E$12:$E$23)+SUMIF($H$12:$H$23,"Rate",$E$12:$E$23)+SUMIF($H$12:$H$23,"Mix",$E$12:$E$23)</f>
        <v>-279919</v>
      </c>
      <c r="K39" s="5" t="s">
        <v>159</v>
      </c>
    </row>
    <row r="40" customFormat="false" ht="43.25" hidden="false" customHeight="false" outlineLevel="0" collapsed="false">
      <c r="B40" s="17" t="s">
        <v>160</v>
      </c>
      <c r="C40" s="18" t="n">
        <f aca="false">C24+SUMIF($H$12:$H$23,"Structural",$E$12:$E$23)</f>
        <v>3031399</v>
      </c>
      <c r="K40" s="5" t="s">
        <v>161</v>
      </c>
    </row>
    <row r="42" customFormat="false" ht="15" hidden="false" customHeight="true" outlineLevel="0" collapsed="false">
      <c r="B42" s="25" t="s">
        <v>162</v>
      </c>
      <c r="C42" s="25"/>
      <c r="D42" s="25"/>
      <c r="E42" s="25"/>
      <c r="F42" s="25"/>
      <c r="G42" s="25"/>
      <c r="H42" s="25"/>
      <c r="I42" s="25"/>
      <c r="J42" s="25"/>
      <c r="K42" s="25"/>
    </row>
  </sheetData>
  <mergeCells count="2">
    <mergeCell ref="B4:K4"/>
    <mergeCell ref="B42:K4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5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6"/>
    <col collapsed="false" customWidth="true" hidden="false" outlineLevel="0" max="3" min="3" style="0" width="84"/>
    <col collapsed="false" customWidth="true" hidden="false" outlineLevel="0" max="6" min="4" style="0" width="16"/>
  </cols>
  <sheetData>
    <row r="2" customFormat="false" ht="126.85" hidden="false" customHeight="false" outlineLevel="0" collapsed="false">
      <c r="B2" s="1" t="s">
        <v>163</v>
      </c>
    </row>
    <row r="4" customFormat="false" ht="30" hidden="false" customHeight="true" outlineLevel="0" collapsed="false">
      <c r="B4" s="6" t="s">
        <v>164</v>
      </c>
      <c r="C4" s="6"/>
      <c r="D4" s="6"/>
      <c r="E4" s="6"/>
      <c r="F4" s="6"/>
    </row>
    <row r="6" customFormat="false" ht="27.75" hidden="false" customHeight="true" outlineLevel="0" collapsed="false">
      <c r="B6" s="7" t="s">
        <v>165</v>
      </c>
      <c r="C6" s="7" t="s">
        <v>166</v>
      </c>
      <c r="D6" s="7" t="s">
        <v>167</v>
      </c>
      <c r="E6" s="7" t="s">
        <v>168</v>
      </c>
      <c r="F6" s="7" t="s">
        <v>169</v>
      </c>
    </row>
    <row r="7" customFormat="false" ht="15" hidden="false" customHeight="false" outlineLevel="0" collapsed="false">
      <c r="B7" s="26" t="s">
        <v>170</v>
      </c>
      <c r="C7" s="26"/>
      <c r="D7" s="26"/>
      <c r="E7" s="26"/>
      <c r="F7" s="26"/>
    </row>
    <row r="8" customFormat="false" ht="15" hidden="false" customHeight="false" outlineLevel="0" collapsed="false">
      <c r="B8" s="27" t="n">
        <v>1</v>
      </c>
      <c r="C8" s="2" t="s">
        <v>171</v>
      </c>
      <c r="D8" s="21" t="s">
        <v>172</v>
      </c>
      <c r="E8" s="28"/>
      <c r="F8" s="28"/>
    </row>
    <row r="9" customFormat="false" ht="15" hidden="false" customHeight="false" outlineLevel="0" collapsed="false">
      <c r="B9" s="27" t="n">
        <v>2</v>
      </c>
      <c r="C9" s="2" t="s">
        <v>173</v>
      </c>
      <c r="D9" s="21" t="s">
        <v>172</v>
      </c>
      <c r="E9" s="28"/>
      <c r="F9" s="28"/>
    </row>
    <row r="10" customFormat="false" ht="15" hidden="false" customHeight="false" outlineLevel="0" collapsed="false">
      <c r="B10" s="26" t="s">
        <v>174</v>
      </c>
      <c r="C10" s="26"/>
      <c r="D10" s="26"/>
      <c r="E10" s="26"/>
      <c r="F10" s="26"/>
    </row>
    <row r="11" customFormat="false" ht="15" hidden="false" customHeight="false" outlineLevel="0" collapsed="false">
      <c r="B11" s="27" t="n">
        <v>3</v>
      </c>
      <c r="C11" s="2" t="s">
        <v>175</v>
      </c>
      <c r="D11" s="21" t="s">
        <v>172</v>
      </c>
      <c r="E11" s="28"/>
      <c r="F11" s="28"/>
    </row>
    <row r="12" customFormat="false" ht="15" hidden="false" customHeight="false" outlineLevel="0" collapsed="false">
      <c r="B12" s="27" t="n">
        <v>4</v>
      </c>
      <c r="C12" s="2" t="s">
        <v>176</v>
      </c>
      <c r="D12" s="21" t="s">
        <v>172</v>
      </c>
      <c r="E12" s="28"/>
      <c r="F12" s="28"/>
    </row>
    <row r="13" customFormat="false" ht="15" hidden="false" customHeight="false" outlineLevel="0" collapsed="false">
      <c r="B13" s="27" t="n">
        <v>5</v>
      </c>
      <c r="C13" s="2" t="s">
        <v>177</v>
      </c>
      <c r="D13" s="21" t="s">
        <v>172</v>
      </c>
      <c r="E13" s="28"/>
      <c r="F13" s="28"/>
    </row>
    <row r="14" customFormat="false" ht="15" hidden="false" customHeight="false" outlineLevel="0" collapsed="false">
      <c r="B14" s="26" t="s">
        <v>178</v>
      </c>
      <c r="C14" s="26"/>
      <c r="D14" s="26"/>
      <c r="E14" s="26"/>
      <c r="F14" s="26"/>
    </row>
    <row r="15" customFormat="false" ht="15" hidden="false" customHeight="false" outlineLevel="0" collapsed="false">
      <c r="B15" s="27" t="n">
        <v>6</v>
      </c>
      <c r="C15" s="2" t="s">
        <v>179</v>
      </c>
      <c r="D15" s="21" t="s">
        <v>172</v>
      </c>
      <c r="E15" s="28"/>
      <c r="F15" s="28"/>
    </row>
    <row r="16" customFormat="false" ht="15" hidden="false" customHeight="false" outlineLevel="0" collapsed="false">
      <c r="B16" s="27" t="n">
        <v>7</v>
      </c>
      <c r="C16" s="2" t="s">
        <v>180</v>
      </c>
      <c r="D16" s="21" t="s">
        <v>172</v>
      </c>
      <c r="E16" s="28"/>
      <c r="F16" s="28"/>
    </row>
    <row r="17" customFormat="false" ht="15" hidden="false" customHeight="false" outlineLevel="0" collapsed="false">
      <c r="B17" s="27" t="n">
        <v>8</v>
      </c>
      <c r="C17" s="2" t="s">
        <v>181</v>
      </c>
      <c r="D17" s="21" t="s">
        <v>172</v>
      </c>
      <c r="E17" s="28"/>
      <c r="F17" s="28"/>
    </row>
    <row r="18" customFormat="false" ht="15" hidden="false" customHeight="false" outlineLevel="0" collapsed="false">
      <c r="B18" s="26" t="s">
        <v>182</v>
      </c>
      <c r="C18" s="26"/>
      <c r="D18" s="26"/>
      <c r="E18" s="26"/>
      <c r="F18" s="26"/>
    </row>
    <row r="19" customFormat="false" ht="15" hidden="false" customHeight="false" outlineLevel="0" collapsed="false">
      <c r="B19" s="27" t="n">
        <v>9</v>
      </c>
      <c r="C19" s="2" t="s">
        <v>183</v>
      </c>
      <c r="D19" s="21" t="s">
        <v>172</v>
      </c>
      <c r="E19" s="28"/>
      <c r="F19" s="28"/>
    </row>
    <row r="20" customFormat="false" ht="15" hidden="false" customHeight="false" outlineLevel="0" collapsed="false">
      <c r="B20" s="27" t="n">
        <v>10</v>
      </c>
      <c r="C20" s="2" t="s">
        <v>184</v>
      </c>
      <c r="D20" s="21" t="s">
        <v>172</v>
      </c>
      <c r="E20" s="28"/>
      <c r="F20" s="28"/>
    </row>
    <row r="21" customFormat="false" ht="15" hidden="false" customHeight="false" outlineLevel="0" collapsed="false">
      <c r="B21" s="26" t="s">
        <v>185</v>
      </c>
      <c r="C21" s="26"/>
      <c r="D21" s="26"/>
      <c r="E21" s="26"/>
      <c r="F21" s="26"/>
    </row>
    <row r="22" customFormat="false" ht="15" hidden="false" customHeight="false" outlineLevel="0" collapsed="false">
      <c r="B22" s="27" t="n">
        <v>11</v>
      </c>
      <c r="C22" s="2" t="s">
        <v>186</v>
      </c>
      <c r="D22" s="21" t="s">
        <v>172</v>
      </c>
      <c r="E22" s="28"/>
      <c r="F22" s="28"/>
    </row>
    <row r="23" customFormat="false" ht="15" hidden="false" customHeight="false" outlineLevel="0" collapsed="false">
      <c r="B23" s="27" t="n">
        <v>12</v>
      </c>
      <c r="C23" s="2" t="s">
        <v>187</v>
      </c>
      <c r="D23" s="21" t="s">
        <v>172</v>
      </c>
      <c r="E23" s="28"/>
      <c r="F23" s="28"/>
    </row>
    <row r="24" customFormat="false" ht="15" hidden="false" customHeight="false" outlineLevel="0" collapsed="false">
      <c r="B24" s="26" t="s">
        <v>188</v>
      </c>
      <c r="C24" s="26"/>
      <c r="D24" s="26"/>
      <c r="E24" s="26"/>
      <c r="F24" s="26"/>
    </row>
    <row r="25" customFormat="false" ht="15" hidden="false" customHeight="false" outlineLevel="0" collapsed="false">
      <c r="B25" s="27" t="n">
        <v>13</v>
      </c>
      <c r="C25" s="2" t="s">
        <v>189</v>
      </c>
      <c r="D25" s="21" t="s">
        <v>172</v>
      </c>
      <c r="E25" s="28"/>
      <c r="F25" s="28"/>
    </row>
    <row r="26" customFormat="false" ht="15" hidden="false" customHeight="false" outlineLevel="0" collapsed="false">
      <c r="B26" s="27" t="n">
        <v>14</v>
      </c>
      <c r="C26" s="2" t="s">
        <v>190</v>
      </c>
      <c r="D26" s="21" t="s">
        <v>172</v>
      </c>
      <c r="E26" s="28"/>
      <c r="F26" s="28"/>
    </row>
    <row r="27" customFormat="false" ht="15" hidden="false" customHeight="false" outlineLevel="0" collapsed="false">
      <c r="B27" s="26" t="s">
        <v>191</v>
      </c>
      <c r="C27" s="26"/>
      <c r="D27" s="26"/>
      <c r="E27" s="26"/>
      <c r="F27" s="26"/>
    </row>
    <row r="28" customFormat="false" ht="15" hidden="false" customHeight="false" outlineLevel="0" collapsed="false">
      <c r="B28" s="27" t="n">
        <v>15</v>
      </c>
      <c r="C28" s="2" t="s">
        <v>192</v>
      </c>
      <c r="D28" s="21" t="s">
        <v>172</v>
      </c>
      <c r="E28" s="28"/>
      <c r="F28" s="28"/>
    </row>
    <row r="29" customFormat="false" ht="15" hidden="false" customHeight="false" outlineLevel="0" collapsed="false">
      <c r="B29" s="27" t="n">
        <v>16</v>
      </c>
      <c r="C29" s="2" t="s">
        <v>193</v>
      </c>
      <c r="D29" s="21" t="s">
        <v>172</v>
      </c>
      <c r="E29" s="28"/>
      <c r="F29" s="28"/>
    </row>
    <row r="30" customFormat="false" ht="15" hidden="false" customHeight="false" outlineLevel="0" collapsed="false">
      <c r="B30" s="27" t="n">
        <v>17</v>
      </c>
      <c r="C30" s="2" t="s">
        <v>194</v>
      </c>
      <c r="D30" s="21" t="s">
        <v>172</v>
      </c>
      <c r="E30" s="28"/>
      <c r="F30" s="28"/>
    </row>
    <row r="31" customFormat="false" ht="15" hidden="false" customHeight="false" outlineLevel="0" collapsed="false">
      <c r="B31" s="27" t="n">
        <v>18</v>
      </c>
      <c r="C31" s="2" t="s">
        <v>195</v>
      </c>
      <c r="D31" s="21" t="s">
        <v>172</v>
      </c>
      <c r="E31" s="28"/>
      <c r="F31" s="28"/>
    </row>
    <row r="32" customFormat="false" ht="15" hidden="false" customHeight="false" outlineLevel="0" collapsed="false">
      <c r="B32" s="26" t="s">
        <v>196</v>
      </c>
      <c r="C32" s="26"/>
      <c r="D32" s="26"/>
      <c r="E32" s="26"/>
      <c r="F32" s="26"/>
    </row>
    <row r="33" customFormat="false" ht="15" hidden="false" customHeight="false" outlineLevel="0" collapsed="false">
      <c r="B33" s="27" t="n">
        <v>19</v>
      </c>
      <c r="C33" s="2" t="s">
        <v>197</v>
      </c>
      <c r="D33" s="21" t="s">
        <v>172</v>
      </c>
      <c r="E33" s="28"/>
      <c r="F33" s="28"/>
    </row>
    <row r="34" customFormat="false" ht="15" hidden="false" customHeight="false" outlineLevel="0" collapsed="false">
      <c r="B34" s="27" t="n">
        <v>20</v>
      </c>
      <c r="C34" s="2" t="s">
        <v>198</v>
      </c>
      <c r="D34" s="21" t="s">
        <v>172</v>
      </c>
      <c r="E34" s="28"/>
      <c r="F34" s="28"/>
    </row>
    <row r="35" customFormat="false" ht="15" hidden="false" customHeight="false" outlineLevel="0" collapsed="false">
      <c r="B35" s="27" t="n">
        <v>21</v>
      </c>
      <c r="C35" s="2" t="s">
        <v>199</v>
      </c>
      <c r="D35" s="21" t="s">
        <v>172</v>
      </c>
      <c r="E35" s="28"/>
      <c r="F35" s="28"/>
    </row>
    <row r="36" customFormat="false" ht="15" hidden="false" customHeight="false" outlineLevel="0" collapsed="false">
      <c r="B36" s="26" t="s">
        <v>200</v>
      </c>
      <c r="C36" s="26"/>
      <c r="D36" s="26"/>
      <c r="E36" s="26"/>
      <c r="F36" s="26"/>
    </row>
    <row r="37" customFormat="false" ht="15" hidden="false" customHeight="false" outlineLevel="0" collapsed="false">
      <c r="B37" s="27" t="n">
        <v>22</v>
      </c>
      <c r="C37" s="2" t="s">
        <v>201</v>
      </c>
      <c r="D37" s="21" t="s">
        <v>172</v>
      </c>
      <c r="E37" s="28"/>
      <c r="F37" s="28"/>
    </row>
    <row r="38" customFormat="false" ht="15" hidden="false" customHeight="false" outlineLevel="0" collapsed="false">
      <c r="B38" s="27" t="n">
        <v>23</v>
      </c>
      <c r="C38" s="2" t="s">
        <v>202</v>
      </c>
      <c r="D38" s="21" t="s">
        <v>172</v>
      </c>
      <c r="E38" s="28"/>
      <c r="F38" s="28"/>
    </row>
    <row r="39" customFormat="false" ht="15" hidden="false" customHeight="false" outlineLevel="0" collapsed="false">
      <c r="B39" s="26" t="s">
        <v>203</v>
      </c>
      <c r="C39" s="26"/>
      <c r="D39" s="26"/>
      <c r="E39" s="26"/>
      <c r="F39" s="26"/>
    </row>
    <row r="40" customFormat="false" ht="15" hidden="false" customHeight="false" outlineLevel="0" collapsed="false">
      <c r="B40" s="27" t="n">
        <v>24</v>
      </c>
      <c r="C40" s="2" t="s">
        <v>204</v>
      </c>
      <c r="D40" s="21" t="s">
        <v>172</v>
      </c>
      <c r="E40" s="28"/>
      <c r="F40" s="28"/>
    </row>
    <row r="41" customFormat="false" ht="15" hidden="false" customHeight="false" outlineLevel="0" collapsed="false">
      <c r="B41" s="27" t="n">
        <v>25</v>
      </c>
      <c r="C41" s="2" t="s">
        <v>205</v>
      </c>
      <c r="D41" s="21" t="s">
        <v>172</v>
      </c>
      <c r="E41" s="28"/>
      <c r="F41" s="28"/>
    </row>
    <row r="42" customFormat="false" ht="15" hidden="false" customHeight="false" outlineLevel="0" collapsed="false">
      <c r="B42" s="26" t="s">
        <v>206</v>
      </c>
      <c r="C42" s="26"/>
      <c r="D42" s="26"/>
      <c r="E42" s="26"/>
      <c r="F42" s="26"/>
    </row>
    <row r="43" customFormat="false" ht="15" hidden="false" customHeight="false" outlineLevel="0" collapsed="false">
      <c r="B43" s="27" t="n">
        <v>26</v>
      </c>
      <c r="C43" s="2" t="s">
        <v>207</v>
      </c>
      <c r="D43" s="21" t="s">
        <v>172</v>
      </c>
      <c r="E43" s="28"/>
      <c r="F43" s="28"/>
    </row>
    <row r="44" customFormat="false" ht="15" hidden="false" customHeight="false" outlineLevel="0" collapsed="false">
      <c r="B44" s="27" t="n">
        <v>27</v>
      </c>
      <c r="C44" s="2" t="s">
        <v>208</v>
      </c>
      <c r="D44" s="21" t="s">
        <v>172</v>
      </c>
      <c r="E44" s="28"/>
      <c r="F44" s="28"/>
    </row>
    <row r="45" customFormat="false" ht="15" hidden="false" customHeight="false" outlineLevel="0" collapsed="false">
      <c r="B45" s="27" t="n">
        <v>28</v>
      </c>
      <c r="C45" s="2" t="s">
        <v>209</v>
      </c>
      <c r="D45" s="21" t="s">
        <v>172</v>
      </c>
      <c r="E45" s="28"/>
      <c r="F45" s="28"/>
    </row>
    <row r="46" customFormat="false" ht="15" hidden="false" customHeight="false" outlineLevel="0" collapsed="false">
      <c r="B46" s="27" t="n">
        <v>29</v>
      </c>
      <c r="C46" s="2" t="s">
        <v>210</v>
      </c>
      <c r="D46" s="21" t="s">
        <v>172</v>
      </c>
      <c r="E46" s="28"/>
      <c r="F46" s="28"/>
    </row>
    <row r="47" customFormat="false" ht="15" hidden="false" customHeight="false" outlineLevel="0" collapsed="false">
      <c r="B47" s="26" t="s">
        <v>211</v>
      </c>
      <c r="C47" s="26"/>
      <c r="D47" s="26"/>
      <c r="E47" s="26"/>
      <c r="F47" s="26"/>
    </row>
    <row r="48" customFormat="false" ht="15" hidden="false" customHeight="false" outlineLevel="0" collapsed="false">
      <c r="B48" s="27" t="n">
        <v>30</v>
      </c>
      <c r="C48" s="2" t="s">
        <v>212</v>
      </c>
      <c r="D48" s="21" t="s">
        <v>172</v>
      </c>
      <c r="E48" s="28"/>
      <c r="F48" s="28"/>
    </row>
    <row r="49" customFormat="false" ht="15" hidden="false" customHeight="false" outlineLevel="0" collapsed="false">
      <c r="B49" s="27" t="n">
        <v>31</v>
      </c>
      <c r="C49" s="2" t="s">
        <v>213</v>
      </c>
      <c r="D49" s="21" t="s">
        <v>172</v>
      </c>
      <c r="E49" s="28"/>
      <c r="F49" s="28"/>
    </row>
    <row r="51" customFormat="false" ht="27.75" hidden="false" customHeight="true" outlineLevel="0" collapsed="false">
      <c r="C51" s="7" t="s">
        <v>214</v>
      </c>
      <c r="D51" s="7" t="s">
        <v>215</v>
      </c>
      <c r="F51" s="7"/>
    </row>
    <row r="52" customFormat="false" ht="15" hidden="false" customHeight="false" outlineLevel="0" collapsed="false">
      <c r="C52" s="8" t="s">
        <v>216</v>
      </c>
      <c r="D52" s="24" t="n">
        <f aca="false">COUNTIF($D$8:$D$49,"Done")</f>
        <v>0</v>
      </c>
    </row>
    <row r="53" customFormat="false" ht="15" hidden="false" customHeight="false" outlineLevel="0" collapsed="false">
      <c r="C53" s="8" t="s">
        <v>172</v>
      </c>
      <c r="D53" s="24" t="n">
        <f aca="false">COUNTIF($D$8:$D$49,"Open")</f>
        <v>31</v>
      </c>
    </row>
    <row r="54" customFormat="false" ht="15" hidden="false" customHeight="false" outlineLevel="0" collapsed="false">
      <c r="C54" s="8" t="s">
        <v>217</v>
      </c>
      <c r="D54" s="24" t="n">
        <f aca="false">SUMPRODUCT(($D$8:$D$49&lt;&gt;"Done")*(TRIM($E$8:$E$49)=""))</f>
        <v>42</v>
      </c>
    </row>
    <row r="55" customFormat="false" ht="15" hidden="false" customHeight="false" outlineLevel="0" collapsed="false">
      <c r="C55" s="8" t="s">
        <v>218</v>
      </c>
      <c r="D55" s="20" t="n">
        <f aca="false">IFERROR(COUNTIF($D$8:$D$49,"Done")/MAX(1,49-8+1-COUNTIF($D$8:$D$49,"N/A")),0)</f>
        <v>0</v>
      </c>
    </row>
    <row r="56" customFormat="false" ht="15" hidden="false" customHeight="false" outlineLevel="0" collapsed="false">
      <c r="C56" s="4" t="s">
        <v>219</v>
      </c>
      <c r="D56" s="29" t="str">
        <f aca="false">IF(COUNTIF($D$8:$D$49,"Open")=0,"Yes","Not yet")</f>
        <v>Not yet</v>
      </c>
    </row>
  </sheetData>
  <mergeCells count="13">
    <mergeCell ref="B4:F4"/>
    <mergeCell ref="B7:F7"/>
    <mergeCell ref="B10:F10"/>
    <mergeCell ref="B14:F14"/>
    <mergeCell ref="B18:F18"/>
    <mergeCell ref="B21:F21"/>
    <mergeCell ref="B24:F24"/>
    <mergeCell ref="B27:F27"/>
    <mergeCell ref="B32:F32"/>
    <mergeCell ref="B36:F36"/>
    <mergeCell ref="B39:F39"/>
    <mergeCell ref="B42:F42"/>
    <mergeCell ref="B47:F4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I2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5"/>
    <col collapsed="false" customWidth="true" hidden="false" outlineLevel="0" max="3" min="3" style="0" width="38"/>
    <col collapsed="false" customWidth="true" hidden="false" outlineLevel="0" max="4" min="4" style="0" width="18"/>
    <col collapsed="false" customWidth="true" hidden="false" outlineLevel="0" max="7" min="5" style="0" width="13"/>
    <col collapsed="false" customWidth="true" hidden="false" outlineLevel="0" max="8" min="8" style="0" width="20"/>
    <col collapsed="false" customWidth="true" hidden="false" outlineLevel="0" max="9" min="9" style="0" width="42"/>
  </cols>
  <sheetData>
    <row r="2" customFormat="false" ht="283.55" hidden="false" customHeight="false" outlineLevel="0" collapsed="false">
      <c r="B2" s="1" t="s">
        <v>220</v>
      </c>
    </row>
    <row r="4" customFormat="false" ht="43.5" hidden="false" customHeight="true" outlineLevel="0" collapsed="false">
      <c r="B4" s="6" t="s">
        <v>221</v>
      </c>
      <c r="C4" s="6"/>
      <c r="D4" s="6"/>
      <c r="E4" s="6"/>
      <c r="F4" s="6"/>
      <c r="G4" s="6"/>
      <c r="H4" s="6"/>
      <c r="I4" s="6"/>
    </row>
    <row r="6" customFormat="false" ht="27.75" hidden="false" customHeight="true" outlineLevel="0" collapsed="false">
      <c r="B6" s="7" t="s">
        <v>165</v>
      </c>
      <c r="C6" s="7" t="s">
        <v>222</v>
      </c>
      <c r="D6" s="7" t="s">
        <v>223</v>
      </c>
      <c r="E6" s="7" t="s">
        <v>224</v>
      </c>
      <c r="F6" s="7" t="s">
        <v>225</v>
      </c>
      <c r="G6" s="7" t="s">
        <v>226</v>
      </c>
      <c r="H6" s="7" t="s">
        <v>168</v>
      </c>
      <c r="I6" s="7" t="s">
        <v>227</v>
      </c>
    </row>
    <row r="7" customFormat="false" ht="22.35" hidden="false" customHeight="false" outlineLevel="0" collapsed="false">
      <c r="B7" s="27" t="n">
        <v>1</v>
      </c>
      <c r="C7" s="2" t="s">
        <v>228</v>
      </c>
      <c r="D7" s="8" t="s">
        <v>229</v>
      </c>
      <c r="E7" s="12" t="n">
        <v>3</v>
      </c>
      <c r="F7" s="12" t="n">
        <v>5</v>
      </c>
      <c r="G7" s="30" t="n">
        <f aca="false">E7*F7</f>
        <v>15</v>
      </c>
      <c r="H7" s="28"/>
      <c r="I7" s="5" t="s">
        <v>230</v>
      </c>
    </row>
    <row r="8" customFormat="false" ht="22.35" hidden="false" customHeight="false" outlineLevel="0" collapsed="false">
      <c r="B8" s="27" t="n">
        <v>2</v>
      </c>
      <c r="C8" s="2" t="s">
        <v>231</v>
      </c>
      <c r="D8" s="8" t="s">
        <v>229</v>
      </c>
      <c r="E8" s="12" t="n">
        <v>4</v>
      </c>
      <c r="F8" s="12" t="n">
        <v>4</v>
      </c>
      <c r="G8" s="30" t="n">
        <f aca="false">E8*F8</f>
        <v>16</v>
      </c>
      <c r="H8" s="28"/>
      <c r="I8" s="5" t="s">
        <v>232</v>
      </c>
    </row>
    <row r="9" customFormat="false" ht="22.35" hidden="false" customHeight="false" outlineLevel="0" collapsed="false">
      <c r="B9" s="27" t="n">
        <v>3</v>
      </c>
      <c r="C9" s="2" t="s">
        <v>233</v>
      </c>
      <c r="D9" s="8" t="s">
        <v>229</v>
      </c>
      <c r="E9" s="12" t="n">
        <v>3</v>
      </c>
      <c r="F9" s="12" t="n">
        <v>3</v>
      </c>
      <c r="G9" s="30" t="n">
        <f aca="false">E9*F9</f>
        <v>9</v>
      </c>
      <c r="H9" s="28"/>
      <c r="I9" s="5" t="s">
        <v>234</v>
      </c>
    </row>
    <row r="10" customFormat="false" ht="22.35" hidden="false" customHeight="false" outlineLevel="0" collapsed="false">
      <c r="B10" s="27" t="n">
        <v>4</v>
      </c>
      <c r="C10" s="2" t="s">
        <v>235</v>
      </c>
      <c r="D10" s="8" t="s">
        <v>236</v>
      </c>
      <c r="E10" s="12" t="n">
        <v>3</v>
      </c>
      <c r="F10" s="12" t="n">
        <v>4</v>
      </c>
      <c r="G10" s="30" t="n">
        <f aca="false">E10*F10</f>
        <v>12</v>
      </c>
      <c r="H10" s="28"/>
      <c r="I10" s="5" t="s">
        <v>237</v>
      </c>
    </row>
    <row r="11" customFormat="false" ht="22.35" hidden="false" customHeight="false" outlineLevel="0" collapsed="false">
      <c r="B11" s="27" t="n">
        <v>5</v>
      </c>
      <c r="C11" s="2" t="s">
        <v>238</v>
      </c>
      <c r="D11" s="8" t="s">
        <v>236</v>
      </c>
      <c r="E11" s="12" t="n">
        <v>2</v>
      </c>
      <c r="F11" s="12" t="n">
        <v>3</v>
      </c>
      <c r="G11" s="30" t="n">
        <f aca="false">E11*F11</f>
        <v>6</v>
      </c>
      <c r="H11" s="28"/>
      <c r="I11" s="5" t="s">
        <v>239</v>
      </c>
    </row>
    <row r="12" customFormat="false" ht="22.35" hidden="false" customHeight="false" outlineLevel="0" collapsed="false">
      <c r="B12" s="27" t="n">
        <v>6</v>
      </c>
      <c r="C12" s="2" t="s">
        <v>240</v>
      </c>
      <c r="D12" s="8" t="s">
        <v>236</v>
      </c>
      <c r="E12" s="12" t="n">
        <v>4</v>
      </c>
      <c r="F12" s="12" t="n">
        <v>4</v>
      </c>
      <c r="G12" s="30" t="n">
        <f aca="false">E12*F12</f>
        <v>16</v>
      </c>
      <c r="H12" s="28"/>
      <c r="I12" s="5" t="s">
        <v>241</v>
      </c>
    </row>
    <row r="13" customFormat="false" ht="22.35" hidden="false" customHeight="false" outlineLevel="0" collapsed="false">
      <c r="B13" s="27" t="n">
        <v>7</v>
      </c>
      <c r="C13" s="2" t="s">
        <v>242</v>
      </c>
      <c r="D13" s="8" t="s">
        <v>243</v>
      </c>
      <c r="E13" s="12" t="n">
        <v>3</v>
      </c>
      <c r="F13" s="12" t="n">
        <v>4</v>
      </c>
      <c r="G13" s="30" t="n">
        <f aca="false">E13*F13</f>
        <v>12</v>
      </c>
      <c r="H13" s="28"/>
      <c r="I13" s="5" t="s">
        <v>244</v>
      </c>
    </row>
    <row r="14" customFormat="false" ht="22.35" hidden="false" customHeight="false" outlineLevel="0" collapsed="false">
      <c r="B14" s="27" t="n">
        <v>8</v>
      </c>
      <c r="C14" s="2" t="s">
        <v>245</v>
      </c>
      <c r="D14" s="8" t="s">
        <v>243</v>
      </c>
      <c r="E14" s="12" t="n">
        <v>4</v>
      </c>
      <c r="F14" s="12" t="n">
        <v>3</v>
      </c>
      <c r="G14" s="30" t="n">
        <f aca="false">E14*F14</f>
        <v>12</v>
      </c>
      <c r="H14" s="28"/>
      <c r="I14" s="5" t="s">
        <v>246</v>
      </c>
    </row>
    <row r="15" customFormat="false" ht="22.35" hidden="false" customHeight="false" outlineLevel="0" collapsed="false">
      <c r="B15" s="27" t="n">
        <v>9</v>
      </c>
      <c r="C15" s="2" t="s">
        <v>247</v>
      </c>
      <c r="D15" s="8" t="s">
        <v>248</v>
      </c>
      <c r="E15" s="12" t="n">
        <v>4</v>
      </c>
      <c r="F15" s="12" t="n">
        <v>3</v>
      </c>
      <c r="G15" s="30" t="n">
        <f aca="false">E15*F15</f>
        <v>12</v>
      </c>
      <c r="H15" s="28"/>
      <c r="I15" s="5" t="s">
        <v>249</v>
      </c>
    </row>
    <row r="16" customFormat="false" ht="22.35" hidden="false" customHeight="false" outlineLevel="0" collapsed="false">
      <c r="B16" s="27" t="n">
        <v>10</v>
      </c>
      <c r="C16" s="2" t="s">
        <v>250</v>
      </c>
      <c r="D16" s="8" t="s">
        <v>248</v>
      </c>
      <c r="E16" s="12" t="n">
        <v>4</v>
      </c>
      <c r="F16" s="12" t="n">
        <v>3</v>
      </c>
      <c r="G16" s="30" t="n">
        <f aca="false">E16*F16</f>
        <v>12</v>
      </c>
      <c r="H16" s="28"/>
      <c r="I16" s="5" t="s">
        <v>251</v>
      </c>
    </row>
    <row r="17" customFormat="false" ht="22.35" hidden="false" customHeight="false" outlineLevel="0" collapsed="false">
      <c r="B17" s="27" t="n">
        <v>11</v>
      </c>
      <c r="C17" s="2" t="s">
        <v>252</v>
      </c>
      <c r="D17" s="8" t="s">
        <v>248</v>
      </c>
      <c r="E17" s="12" t="n">
        <v>2</v>
      </c>
      <c r="F17" s="12" t="n">
        <v>5</v>
      </c>
      <c r="G17" s="30" t="n">
        <f aca="false">E17*F17</f>
        <v>10</v>
      </c>
      <c r="H17" s="28"/>
      <c r="I17" s="5" t="s">
        <v>253</v>
      </c>
    </row>
    <row r="18" customFormat="false" ht="22.35" hidden="false" customHeight="false" outlineLevel="0" collapsed="false">
      <c r="B18" s="27" t="n">
        <v>12</v>
      </c>
      <c r="C18" s="2" t="s">
        <v>254</v>
      </c>
      <c r="D18" s="8" t="s">
        <v>255</v>
      </c>
      <c r="E18" s="12" t="n">
        <v>2</v>
      </c>
      <c r="F18" s="12" t="n">
        <v>5</v>
      </c>
      <c r="G18" s="30" t="n">
        <f aca="false">E18*F18</f>
        <v>10</v>
      </c>
      <c r="H18" s="28"/>
      <c r="I18" s="5" t="s">
        <v>256</v>
      </c>
    </row>
    <row r="19" customFormat="false" ht="22.35" hidden="false" customHeight="false" outlineLevel="0" collapsed="false">
      <c r="B19" s="27" t="n">
        <v>13</v>
      </c>
      <c r="C19" s="2" t="s">
        <v>257</v>
      </c>
      <c r="D19" s="8" t="s">
        <v>255</v>
      </c>
      <c r="E19" s="12" t="n">
        <v>2</v>
      </c>
      <c r="F19" s="12" t="n">
        <v>4</v>
      </c>
      <c r="G19" s="30" t="n">
        <f aca="false">E19*F19</f>
        <v>8</v>
      </c>
      <c r="H19" s="28"/>
      <c r="I19" s="5" t="s">
        <v>258</v>
      </c>
    </row>
    <row r="20" customFormat="false" ht="22.35" hidden="false" customHeight="false" outlineLevel="0" collapsed="false">
      <c r="B20" s="27" t="n">
        <v>14</v>
      </c>
      <c r="C20" s="2" t="s">
        <v>259</v>
      </c>
      <c r="D20" s="8" t="s">
        <v>260</v>
      </c>
      <c r="E20" s="12" t="n">
        <v>2</v>
      </c>
      <c r="F20" s="12" t="n">
        <v>4</v>
      </c>
      <c r="G20" s="30" t="n">
        <f aca="false">E20*F20</f>
        <v>8</v>
      </c>
      <c r="H20" s="28"/>
      <c r="I20" s="5" t="s">
        <v>261</v>
      </c>
    </row>
    <row r="21" customFormat="false" ht="22.35" hidden="false" customHeight="false" outlineLevel="0" collapsed="false">
      <c r="B21" s="27" t="n">
        <v>15</v>
      </c>
      <c r="C21" s="2" t="s">
        <v>262</v>
      </c>
      <c r="D21" s="8" t="s">
        <v>260</v>
      </c>
      <c r="E21" s="12" t="n">
        <v>2</v>
      </c>
      <c r="F21" s="12" t="n">
        <v>5</v>
      </c>
      <c r="G21" s="30" t="n">
        <f aca="false">E21*F21</f>
        <v>10</v>
      </c>
      <c r="H21" s="28"/>
      <c r="I21" s="5" t="s">
        <v>263</v>
      </c>
    </row>
    <row r="23" customFormat="false" ht="27.75" hidden="false" customHeight="true" outlineLevel="0" collapsed="false">
      <c r="C23" s="7"/>
      <c r="D23" s="7" t="s">
        <v>21</v>
      </c>
      <c r="I23" s="7" t="s">
        <v>22</v>
      </c>
    </row>
    <row r="24" customFormat="false" ht="15" hidden="false" customHeight="false" outlineLevel="0" collapsed="false">
      <c r="C24" s="8" t="s">
        <v>264</v>
      </c>
      <c r="D24" s="24" t="n">
        <f aca="false">MAX(G7:G21)</f>
        <v>16</v>
      </c>
      <c r="I24" s="5" t="s">
        <v>265</v>
      </c>
    </row>
    <row r="25" customFormat="false" ht="22.35" hidden="false" customHeight="false" outlineLevel="0" collapsed="false">
      <c r="C25" s="8" t="s">
        <v>266</v>
      </c>
      <c r="D25" s="24" t="n">
        <f aca="false">COUNTIF(G7:G21,"&gt;=12")</f>
        <v>8</v>
      </c>
      <c r="I25" s="5" t="s">
        <v>267</v>
      </c>
    </row>
    <row r="26" customFormat="false" ht="15" hidden="false" customHeight="false" outlineLevel="0" collapsed="false">
      <c r="C26" s="8" t="s">
        <v>268</v>
      </c>
      <c r="D26" s="24" t="n">
        <f aca="false">COUNTIF(G7:G21,"&gt;=16")</f>
        <v>2</v>
      </c>
      <c r="I26" s="5" t="s">
        <v>269</v>
      </c>
    </row>
    <row r="27" customFormat="false" ht="15" hidden="false" customHeight="false" outlineLevel="0" collapsed="false">
      <c r="C27" s="8" t="s">
        <v>270</v>
      </c>
      <c r="D27" s="24" t="n">
        <f aca="false">SUMPRODUCT((TRIM($H$7:$H$21)="")*1)</f>
        <v>15</v>
      </c>
      <c r="I27" s="5" t="s">
        <v>271</v>
      </c>
    </row>
    <row r="28" customFormat="false" ht="15" hidden="false" customHeight="false" outlineLevel="0" collapsed="false">
      <c r="C28" s="8" t="s">
        <v>272</v>
      </c>
      <c r="D28" s="31" t="n">
        <f aca="false">IFERROR(AVERAGE(G7:G21),0)</f>
        <v>11.2</v>
      </c>
      <c r="I28" s="5"/>
    </row>
  </sheetData>
  <mergeCells count="1">
    <mergeCell ref="B4:I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2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5"/>
    <col collapsed="false" customWidth="true" hidden="false" outlineLevel="0" max="3" min="3" style="0" width="76"/>
    <col collapsed="false" customWidth="true" hidden="false" outlineLevel="0" max="7" min="4" style="0" width="15"/>
    <col collapsed="false" customWidth="true" hidden="false" outlineLevel="0" max="8" min="8" style="0" width="40"/>
  </cols>
  <sheetData>
    <row r="2" customFormat="false" ht="173.85" hidden="false" customHeight="false" outlineLevel="0" collapsed="false">
      <c r="B2" s="1" t="s">
        <v>273</v>
      </c>
    </row>
    <row r="4" customFormat="false" ht="30" hidden="false" customHeight="true" outlineLevel="0" collapsed="false">
      <c r="B4" s="6" t="s">
        <v>274</v>
      </c>
      <c r="C4" s="6"/>
      <c r="D4" s="6"/>
      <c r="E4" s="6"/>
      <c r="F4" s="6"/>
      <c r="G4" s="6"/>
      <c r="H4" s="6"/>
    </row>
    <row r="6" customFormat="false" ht="27.75" hidden="false" customHeight="true" outlineLevel="0" collapsed="false">
      <c r="B6" s="7" t="s">
        <v>165</v>
      </c>
      <c r="C6" s="7" t="s">
        <v>275</v>
      </c>
      <c r="D6" s="7" t="s">
        <v>276</v>
      </c>
      <c r="E6" s="7" t="s">
        <v>167</v>
      </c>
      <c r="F6" s="7" t="s">
        <v>168</v>
      </c>
      <c r="G6" s="7" t="s">
        <v>277</v>
      </c>
      <c r="H6" s="7" t="s">
        <v>278</v>
      </c>
    </row>
    <row r="7" customFormat="false" ht="22.35" hidden="false" customHeight="false" outlineLevel="0" collapsed="false">
      <c r="B7" s="27" t="n">
        <v>1</v>
      </c>
      <c r="C7" s="2" t="s">
        <v>279</v>
      </c>
      <c r="D7" s="27" t="n">
        <v>1</v>
      </c>
      <c r="E7" s="21" t="s">
        <v>172</v>
      </c>
      <c r="F7" s="28"/>
      <c r="G7" s="12" t="n">
        <v>3</v>
      </c>
      <c r="H7" s="5" t="s">
        <v>280</v>
      </c>
    </row>
    <row r="8" customFormat="false" ht="22.35" hidden="false" customHeight="false" outlineLevel="0" collapsed="false">
      <c r="B8" s="27" t="n">
        <v>3</v>
      </c>
      <c r="C8" s="2" t="s">
        <v>281</v>
      </c>
      <c r="D8" s="27" t="n">
        <v>1</v>
      </c>
      <c r="E8" s="21" t="s">
        <v>172</v>
      </c>
      <c r="F8" s="28"/>
      <c r="G8" s="12" t="n">
        <v>1</v>
      </c>
      <c r="H8" s="5" t="s">
        <v>282</v>
      </c>
    </row>
    <row r="9" customFormat="false" ht="22.35" hidden="false" customHeight="false" outlineLevel="0" collapsed="false">
      <c r="B9" s="27" t="n">
        <v>6</v>
      </c>
      <c r="C9" s="2" t="s">
        <v>283</v>
      </c>
      <c r="D9" s="27" t="n">
        <v>1</v>
      </c>
      <c r="E9" s="21" t="s">
        <v>172</v>
      </c>
      <c r="F9" s="28"/>
      <c r="G9" s="12" t="n">
        <v>4</v>
      </c>
      <c r="H9" s="5" t="s">
        <v>284</v>
      </c>
    </row>
    <row r="10" customFormat="false" ht="23.85" hidden="false" customHeight="false" outlineLevel="0" collapsed="false">
      <c r="B10" s="27" t="n">
        <v>2</v>
      </c>
      <c r="C10" s="2" t="s">
        <v>285</v>
      </c>
      <c r="D10" s="27" t="n">
        <v>2</v>
      </c>
      <c r="E10" s="21" t="s">
        <v>172</v>
      </c>
      <c r="F10" s="28"/>
      <c r="G10" s="12" t="n">
        <v>6</v>
      </c>
      <c r="H10" s="5" t="s">
        <v>286</v>
      </c>
    </row>
    <row r="11" customFormat="false" ht="22.35" hidden="false" customHeight="false" outlineLevel="0" collapsed="false">
      <c r="B11" s="27" t="n">
        <v>5</v>
      </c>
      <c r="C11" s="2" t="s">
        <v>287</v>
      </c>
      <c r="D11" s="27" t="n">
        <v>2</v>
      </c>
      <c r="E11" s="21" t="s">
        <v>172</v>
      </c>
      <c r="F11" s="28"/>
      <c r="G11" s="12" t="n">
        <v>3</v>
      </c>
      <c r="H11" s="5" t="s">
        <v>288</v>
      </c>
    </row>
    <row r="12" customFormat="false" ht="22.35" hidden="false" customHeight="false" outlineLevel="0" collapsed="false">
      <c r="B12" s="27" t="n">
        <v>8</v>
      </c>
      <c r="C12" s="2" t="s">
        <v>289</v>
      </c>
      <c r="D12" s="27" t="n">
        <v>2</v>
      </c>
      <c r="E12" s="21" t="s">
        <v>172</v>
      </c>
      <c r="F12" s="28"/>
      <c r="G12" s="12" t="n">
        <v>4</v>
      </c>
      <c r="H12" s="5" t="s">
        <v>290</v>
      </c>
    </row>
    <row r="13" customFormat="false" ht="23.85" hidden="false" customHeight="false" outlineLevel="0" collapsed="false">
      <c r="B13" s="27" t="n">
        <v>4</v>
      </c>
      <c r="C13" s="2" t="s">
        <v>291</v>
      </c>
      <c r="D13" s="27" t="n">
        <v>3</v>
      </c>
      <c r="E13" s="21" t="s">
        <v>172</v>
      </c>
      <c r="F13" s="28"/>
      <c r="G13" s="12" t="n">
        <v>4</v>
      </c>
      <c r="H13" s="5" t="s">
        <v>292</v>
      </c>
    </row>
    <row r="14" customFormat="false" ht="32.8" hidden="false" customHeight="false" outlineLevel="0" collapsed="false">
      <c r="B14" s="27" t="n">
        <v>7</v>
      </c>
      <c r="C14" s="2" t="s">
        <v>293</v>
      </c>
      <c r="D14" s="27" t="n">
        <v>3</v>
      </c>
      <c r="E14" s="21" t="s">
        <v>172</v>
      </c>
      <c r="F14" s="28"/>
      <c r="G14" s="12" t="n">
        <v>8</v>
      </c>
      <c r="H14" s="5" t="s">
        <v>294</v>
      </c>
    </row>
    <row r="16" customFormat="false" ht="27.75" hidden="false" customHeight="true" outlineLevel="0" collapsed="false">
      <c r="C16" s="7"/>
      <c r="D16" s="7" t="s">
        <v>295</v>
      </c>
      <c r="E16" s="7" t="s">
        <v>296</v>
      </c>
      <c r="F16" s="7" t="s">
        <v>297</v>
      </c>
      <c r="H16" s="7"/>
    </row>
    <row r="17" customFormat="false" ht="15" hidden="false" customHeight="false" outlineLevel="0" collapsed="false">
      <c r="C17" s="8" t="s">
        <v>298</v>
      </c>
      <c r="D17" s="24" t="n">
        <f aca="false">COUNTIF($D$7:$D$14,1)</f>
        <v>3</v>
      </c>
      <c r="E17" s="24" t="n">
        <f aca="false">COUNTIF($D$7:$D$14,2)</f>
        <v>3</v>
      </c>
      <c r="F17" s="24" t="n">
        <f aca="false">COUNTIF($D$7:$D$14,3)</f>
        <v>2</v>
      </c>
    </row>
    <row r="18" customFormat="false" ht="22.35" hidden="false" customHeight="false" outlineLevel="0" collapsed="false">
      <c r="C18" s="8" t="s">
        <v>277</v>
      </c>
      <c r="D18" s="24" t="n">
        <f aca="false">SUMIF($D$7:$D$14,1,$G$7:$G$14)</f>
        <v>8</v>
      </c>
      <c r="E18" s="24" t="n">
        <f aca="false">SUMIF($D$7:$D$14,2,$G$7:$G$14)</f>
        <v>13</v>
      </c>
      <c r="F18" s="24" t="n">
        <f aca="false">SUMIF($D$7:$D$14,3,$G$7:$G$14)</f>
        <v>12</v>
      </c>
      <c r="H18" s="5" t="s">
        <v>299</v>
      </c>
    </row>
    <row r="19" customFormat="false" ht="15" hidden="false" customHeight="false" outlineLevel="0" collapsed="false">
      <c r="C19" s="8" t="s">
        <v>216</v>
      </c>
      <c r="D19" s="24" t="n">
        <f aca="false">COUNTIF($E$7:$E$14,"Done")</f>
        <v>0</v>
      </c>
    </row>
    <row r="20" customFormat="false" ht="15" hidden="false" customHeight="false" outlineLevel="0" collapsed="false">
      <c r="C20" s="17" t="s">
        <v>300</v>
      </c>
      <c r="D20" s="32" t="n">
        <f aca="false">SUM($G$7:$G$14)</f>
        <v>33</v>
      </c>
    </row>
  </sheetData>
  <mergeCells count="1">
    <mergeCell ref="B4:H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F4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54"/>
    <col collapsed="false" customWidth="true" hidden="false" outlineLevel="0" max="5" min="3" style="0" width="16"/>
    <col collapsed="false" customWidth="true" hidden="false" outlineLevel="0" max="6" min="6" style="0" width="52"/>
  </cols>
  <sheetData>
    <row r="2" customFormat="false" ht="17.35" hidden="false" customHeight="false" outlineLevel="0" collapsed="false">
      <c r="B2" s="1" t="s">
        <v>301</v>
      </c>
    </row>
    <row r="4" customFormat="false" ht="30" hidden="false" customHeight="true" outlineLevel="0" collapsed="false">
      <c r="B4" s="6" t="s">
        <v>302</v>
      </c>
      <c r="C4" s="6"/>
      <c r="D4" s="6"/>
      <c r="E4" s="6"/>
      <c r="F4" s="6"/>
    </row>
    <row r="6" customFormat="false" ht="27.75" hidden="false" customHeight="true" outlineLevel="0" collapsed="false">
      <c r="B6" s="7" t="s">
        <v>303</v>
      </c>
      <c r="C6" s="7" t="s">
        <v>304</v>
      </c>
      <c r="D6" s="7" t="s">
        <v>305</v>
      </c>
      <c r="F6" s="7" t="s">
        <v>306</v>
      </c>
    </row>
    <row r="7" customFormat="false" ht="15" hidden="false" customHeight="false" outlineLevel="0" collapsed="false">
      <c r="B7" s="26" t="s">
        <v>307</v>
      </c>
      <c r="C7" s="26"/>
      <c r="D7" s="26"/>
      <c r="E7" s="26"/>
      <c r="F7" s="26"/>
    </row>
    <row r="8" customFormat="false" ht="15" hidden="false" customHeight="false" outlineLevel="0" collapsed="false">
      <c r="B8" s="8" t="s">
        <v>308</v>
      </c>
      <c r="C8" s="12" t="n">
        <v>3</v>
      </c>
      <c r="D8" s="12" t="n">
        <v>2</v>
      </c>
      <c r="F8" s="5" t="s">
        <v>309</v>
      </c>
    </row>
    <row r="9" customFormat="false" ht="15" hidden="false" customHeight="false" outlineLevel="0" collapsed="false">
      <c r="B9" s="8" t="s">
        <v>310</v>
      </c>
      <c r="C9" s="12" t="n">
        <v>3</v>
      </c>
      <c r="D9" s="12" t="n">
        <v>2</v>
      </c>
      <c r="F9" s="5" t="s">
        <v>311</v>
      </c>
    </row>
    <row r="10" customFormat="false" ht="15" hidden="false" customHeight="false" outlineLevel="0" collapsed="false">
      <c r="B10" s="8" t="s">
        <v>312</v>
      </c>
      <c r="C10" s="12" t="n">
        <v>4</v>
      </c>
      <c r="D10" s="12" t="n">
        <v>1</v>
      </c>
      <c r="F10" s="5" t="s">
        <v>313</v>
      </c>
    </row>
    <row r="11" customFormat="false" ht="15" hidden="false" customHeight="false" outlineLevel="0" collapsed="false">
      <c r="B11" s="8" t="s">
        <v>314</v>
      </c>
      <c r="C11" s="12" t="n">
        <v>3</v>
      </c>
      <c r="D11" s="12" t="n">
        <v>1</v>
      </c>
      <c r="F11" s="5" t="s">
        <v>315</v>
      </c>
    </row>
    <row r="12" customFormat="false" ht="15" hidden="false" customHeight="false" outlineLevel="0" collapsed="false">
      <c r="B12" s="26" t="s">
        <v>316</v>
      </c>
      <c r="C12" s="26"/>
      <c r="D12" s="26"/>
      <c r="E12" s="26"/>
      <c r="F12" s="26"/>
    </row>
    <row r="13" customFormat="false" ht="15" hidden="false" customHeight="false" outlineLevel="0" collapsed="false">
      <c r="B13" s="8" t="s">
        <v>317</v>
      </c>
      <c r="C13" s="12" t="n">
        <v>4</v>
      </c>
      <c r="D13" s="12" t="n">
        <v>1</v>
      </c>
      <c r="F13" s="5"/>
    </row>
    <row r="14" customFormat="false" ht="15" hidden="false" customHeight="false" outlineLevel="0" collapsed="false">
      <c r="B14" s="8" t="s">
        <v>318</v>
      </c>
      <c r="C14" s="12" t="n">
        <v>3</v>
      </c>
      <c r="D14" s="12" t="n">
        <v>1</v>
      </c>
      <c r="F14" s="5" t="s">
        <v>319</v>
      </c>
    </row>
    <row r="15" customFormat="false" ht="15" hidden="false" customHeight="false" outlineLevel="0" collapsed="false">
      <c r="B15" s="8" t="s">
        <v>320</v>
      </c>
      <c r="C15" s="12" t="n">
        <v>3</v>
      </c>
      <c r="D15" s="12" t="n">
        <v>1</v>
      </c>
      <c r="F15" s="5" t="s">
        <v>321</v>
      </c>
    </row>
    <row r="16" customFormat="false" ht="15" hidden="false" customHeight="false" outlineLevel="0" collapsed="false">
      <c r="B16" s="8" t="s">
        <v>322</v>
      </c>
      <c r="C16" s="12" t="n">
        <v>2</v>
      </c>
      <c r="D16" s="12" t="n">
        <v>2</v>
      </c>
      <c r="F16" s="5" t="s">
        <v>323</v>
      </c>
    </row>
    <row r="17" customFormat="false" ht="15" hidden="false" customHeight="false" outlineLevel="0" collapsed="false">
      <c r="B17" s="26" t="s">
        <v>324</v>
      </c>
      <c r="C17" s="26"/>
      <c r="D17" s="26"/>
      <c r="E17" s="26"/>
      <c r="F17" s="26"/>
    </row>
    <row r="18" customFormat="false" ht="15" hidden="false" customHeight="false" outlineLevel="0" collapsed="false">
      <c r="B18" s="8" t="s">
        <v>325</v>
      </c>
      <c r="C18" s="12" t="n">
        <v>4</v>
      </c>
      <c r="D18" s="12" t="n">
        <v>2</v>
      </c>
      <c r="F18" s="5" t="s">
        <v>326</v>
      </c>
    </row>
    <row r="19" customFormat="false" ht="15" hidden="false" customHeight="false" outlineLevel="0" collapsed="false">
      <c r="B19" s="8" t="s">
        <v>327</v>
      </c>
      <c r="C19" s="12" t="n">
        <v>3</v>
      </c>
      <c r="D19" s="12" t="n">
        <v>2</v>
      </c>
      <c r="F19" s="5"/>
    </row>
    <row r="20" customFormat="false" ht="15" hidden="false" customHeight="false" outlineLevel="0" collapsed="false">
      <c r="B20" s="8" t="s">
        <v>328</v>
      </c>
      <c r="C20" s="12" t="n">
        <v>2</v>
      </c>
      <c r="D20" s="12" t="n">
        <v>1</v>
      </c>
      <c r="F20" s="5" t="s">
        <v>329</v>
      </c>
    </row>
    <row r="21" customFormat="false" ht="15" hidden="false" customHeight="false" outlineLevel="0" collapsed="false">
      <c r="B21" s="8" t="s">
        <v>330</v>
      </c>
      <c r="C21" s="12" t="n">
        <v>3</v>
      </c>
      <c r="D21" s="12" t="n">
        <v>2</v>
      </c>
      <c r="F21" s="5"/>
    </row>
    <row r="22" customFormat="false" ht="15" hidden="false" customHeight="false" outlineLevel="0" collapsed="false">
      <c r="B22" s="26" t="s">
        <v>331</v>
      </c>
      <c r="C22" s="26"/>
      <c r="D22" s="26"/>
      <c r="E22" s="26"/>
      <c r="F22" s="26"/>
    </row>
    <row r="23" customFormat="false" ht="15" hidden="false" customHeight="false" outlineLevel="0" collapsed="false">
      <c r="B23" s="8" t="s">
        <v>332</v>
      </c>
      <c r="C23" s="12" t="n">
        <v>3</v>
      </c>
      <c r="D23" s="12" t="n">
        <v>1</v>
      </c>
      <c r="F23" s="5"/>
    </row>
    <row r="24" customFormat="false" ht="15" hidden="false" customHeight="false" outlineLevel="0" collapsed="false">
      <c r="B24" s="8" t="s">
        <v>333</v>
      </c>
      <c r="C24" s="12" t="n">
        <v>4</v>
      </c>
      <c r="D24" s="12" t="n">
        <v>2</v>
      </c>
      <c r="F24" s="5" t="s">
        <v>334</v>
      </c>
    </row>
    <row r="25" customFormat="false" ht="15" hidden="false" customHeight="false" outlineLevel="0" collapsed="false">
      <c r="B25" s="8" t="s">
        <v>335</v>
      </c>
      <c r="C25" s="12" t="n">
        <v>2</v>
      </c>
      <c r="D25" s="12" t="n">
        <v>3</v>
      </c>
      <c r="F25" s="5" t="s">
        <v>336</v>
      </c>
    </row>
    <row r="26" customFormat="false" ht="15" hidden="false" customHeight="false" outlineLevel="0" collapsed="false">
      <c r="B26" s="8" t="s">
        <v>337</v>
      </c>
      <c r="C26" s="12" t="n">
        <v>3</v>
      </c>
      <c r="D26" s="12" t="n">
        <v>1</v>
      </c>
      <c r="F26" s="5"/>
    </row>
    <row r="28" customFormat="false" ht="27.75" hidden="false" customHeight="true" outlineLevel="0" collapsed="false">
      <c r="B28" s="7"/>
      <c r="C28" s="7" t="s">
        <v>21</v>
      </c>
      <c r="F28" s="7" t="s">
        <v>22</v>
      </c>
    </row>
    <row r="29" customFormat="false" ht="15" hidden="false" customHeight="false" outlineLevel="0" collapsed="false">
      <c r="B29" s="8" t="s">
        <v>338</v>
      </c>
      <c r="C29" s="33" t="n">
        <f aca="false">IFERROR(SUMPRODUCT($C$8:$C$26,$D$8:$D$26)/SUM($D$8:$D$26),0)</f>
        <v>3</v>
      </c>
      <c r="F29" s="5"/>
    </row>
    <row r="30" customFormat="false" ht="15" hidden="false" customHeight="false" outlineLevel="0" collapsed="false">
      <c r="B30" s="8" t="s">
        <v>339</v>
      </c>
      <c r="C30" s="24" t="n">
        <f aca="false">COUNTIF($C$8:$C$26,"&lt;=2")</f>
        <v>3</v>
      </c>
      <c r="F30" s="5" t="s">
        <v>340</v>
      </c>
    </row>
    <row r="31" customFormat="false" ht="15" hidden="false" customHeight="false" outlineLevel="0" collapsed="false">
      <c r="B31" s="8" t="s">
        <v>341</v>
      </c>
      <c r="C31" s="14" t="n">
        <f aca="false">IFERROR(SUMPRODUCT(($C$8:$C$26&lt;=2)*$D$8:$D$26*(4-$C$8:$C$26))/SUM($D$8:$D$26),0)</f>
        <v>0.48</v>
      </c>
      <c r="F31" s="5" t="s">
        <v>342</v>
      </c>
    </row>
    <row r="32" customFormat="false" ht="15" hidden="false" customHeight="false" outlineLevel="0" collapsed="false">
      <c r="B32" s="4" t="s">
        <v>343</v>
      </c>
      <c r="C32" s="17" t="str">
        <f aca="false">IF($C$29&gt;=4,"Ready — start the raise",IF($C$29&gt;=3.2,"Close — fix the metrics scoring 2 first","Not yet — the platform is the constraint, not the market"))</f>
        <v>Not yet — the platform is the constraint, not the market</v>
      </c>
      <c r="F32" s="5"/>
    </row>
    <row r="34" customFormat="false" ht="15" hidden="false" customHeight="false" outlineLevel="0" collapsed="false">
      <c r="B34" s="3" t="s">
        <v>344</v>
      </c>
    </row>
    <row r="35" customFormat="false" ht="30" hidden="false" customHeight="true" outlineLevel="0" collapsed="false">
      <c r="B35" s="6" t="s">
        <v>345</v>
      </c>
      <c r="C35" s="6"/>
      <c r="D35" s="6"/>
      <c r="E35" s="6"/>
      <c r="F35" s="6"/>
    </row>
    <row r="37" customFormat="false" ht="27.75" hidden="false" customHeight="true" outlineLevel="0" collapsed="false">
      <c r="B37" s="7" t="s">
        <v>346</v>
      </c>
      <c r="C37" s="7" t="s">
        <v>347</v>
      </c>
      <c r="F37" s="7"/>
    </row>
    <row r="38" customFormat="false" ht="30" hidden="false" customHeight="true" outlineLevel="0" collapsed="false">
      <c r="B38" s="2" t="s">
        <v>348</v>
      </c>
      <c r="C38" s="28"/>
      <c r="D38" s="28"/>
      <c r="E38" s="28"/>
      <c r="F38" s="28"/>
    </row>
    <row r="39" customFormat="false" ht="30" hidden="false" customHeight="true" outlineLevel="0" collapsed="false">
      <c r="B39" s="2" t="s">
        <v>349</v>
      </c>
      <c r="C39" s="28"/>
      <c r="D39" s="28"/>
      <c r="E39" s="28"/>
      <c r="F39" s="28"/>
    </row>
    <row r="40" customFormat="false" ht="30" hidden="false" customHeight="true" outlineLevel="0" collapsed="false">
      <c r="B40" s="2" t="s">
        <v>350</v>
      </c>
      <c r="C40" s="28"/>
      <c r="D40" s="28"/>
      <c r="E40" s="28"/>
      <c r="F40" s="28"/>
    </row>
    <row r="41" customFormat="false" ht="30" hidden="false" customHeight="true" outlineLevel="0" collapsed="false">
      <c r="B41" s="2" t="s">
        <v>351</v>
      </c>
      <c r="C41" s="28"/>
      <c r="D41" s="28"/>
      <c r="E41" s="28"/>
      <c r="F41" s="28"/>
    </row>
    <row r="42" customFormat="false" ht="30" hidden="false" customHeight="true" outlineLevel="0" collapsed="false">
      <c r="B42" s="2" t="s">
        <v>352</v>
      </c>
      <c r="C42" s="28"/>
      <c r="D42" s="28"/>
      <c r="E42" s="28"/>
      <c r="F42" s="28"/>
    </row>
  </sheetData>
  <mergeCells count="11">
    <mergeCell ref="B4:F4"/>
    <mergeCell ref="B7:F7"/>
    <mergeCell ref="B12:F12"/>
    <mergeCell ref="B17:F17"/>
    <mergeCell ref="B22:F22"/>
    <mergeCell ref="B35:F35"/>
    <mergeCell ref="C38:F38"/>
    <mergeCell ref="C39:F39"/>
    <mergeCell ref="C40:F40"/>
    <mergeCell ref="C41:F41"/>
    <mergeCell ref="C42:F4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2026-08-12T19:23:12Z</dcterms:created>
  <dc:creator>openpyxl</dc:creator>
  <dc:description/>
  <dc:language>en-US</dc:language>
  <cp:lastModifiedBy/>
  <dcterms:modified xsi:type="dcterms:W3CDTF">2026-08-12T19:23:12Z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