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Bond Pricing" sheetId="3" state="visible" r:id="rId3"/>
    <sheet xmlns:r="http://schemas.openxmlformats.org/officeDocument/2006/relationships" name="Curve and Roll" sheetId="4" state="visible" r:id="rId4"/>
    <sheet xmlns:r="http://schemas.openxmlformats.org/officeDocument/2006/relationships" name="Client Trade" sheetId="5" state="visible" r:id="rId5"/>
    <sheet xmlns:r="http://schemas.openxmlformats.org/officeDocument/2006/relationships" name="Risk" sheetId="6" state="visible" r:id="rId6"/>
    <sheet xmlns:r="http://schemas.openxmlformats.org/officeDocument/2006/relationships" name="Desk P&amp;L" sheetId="7" state="visible" r:id="rId7"/>
    <sheet xmlns:r="http://schemas.openxmlformats.org/officeDocument/2006/relationships" name="Check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#,##0.00;[Red]-#,##0.00"/>
    <numFmt numFmtId="165" formatCode="#,##0.000;[Red]-#,##0.000"/>
    <numFmt numFmtId="166" formatCode="#,##0.0;[Red]-#,##0.0"/>
    <numFmt numFmtId="167" formatCode="#,##0;[Red]-#,##0"/>
    <numFmt numFmtId="168" formatCode="0.0%"/>
    <numFmt numFmtId="169" formatCode="0.0000"/>
    <numFmt numFmtId="170" formatCode="0.000000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1F4FB4"/>
      <sz val="10"/>
    </font>
  </fonts>
  <fills count="6">
    <fill>
      <patternFill/>
    </fill>
    <fill>
      <patternFill patternType="gray125"/>
    </fill>
    <fill>
      <patternFill patternType="solid">
        <fgColor rgb="000E2A3A"/>
      </patternFill>
    </fill>
    <fill>
      <patternFill patternType="solid">
        <fgColor rgb="001F4F66"/>
      </patternFill>
    </fill>
    <fill>
      <patternFill patternType="solid">
        <fgColor rgb="00EEF3FB"/>
      </patternFill>
    </fill>
    <fill>
      <patternFill patternType="solid">
        <fgColor rgb="00F6E6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0" applyAlignment="1" pivotButton="0" quotePrefix="0" xfId="0">
      <alignment vertical="center" wrapText="1"/>
    </xf>
    <xf numFmtId="0" fontId="4" fillId="0" borderId="0" pivotButton="0" quotePrefix="0" xfId="0"/>
    <xf numFmtId="164" fontId="5" fillId="4" borderId="0" pivotButton="0" quotePrefix="0" xfId="0"/>
    <xf numFmtId="165" fontId="5" fillId="4" borderId="0" pivotButton="0" quotePrefix="0" xfId="0"/>
    <xf numFmtId="1" fontId="5" fillId="4" borderId="0" pivotButton="0" quotePrefix="0" xfId="0"/>
    <xf numFmtId="166" fontId="5" fillId="4" borderId="0" pivotButton="0" quotePrefix="0" xfId="0"/>
    <xf numFmtId="167" fontId="5" fillId="4" borderId="0" pivotButton="0" quotePrefix="0" xfId="0"/>
    <xf numFmtId="168" fontId="5" fillId="4" borderId="0" pivotButton="0" quotePrefix="0" xfId="0"/>
    <xf numFmtId="165" fontId="2" fillId="0" borderId="0" pivotButton="0" quotePrefix="0" xfId="0"/>
    <xf numFmtId="164" fontId="2" fillId="0" borderId="0" pivotButton="0" quotePrefix="0" xfId="0"/>
    <xf numFmtId="1" fontId="2" fillId="0" borderId="0" pivotButton="0" quotePrefix="0" xfId="0"/>
    <xf numFmtId="169" fontId="2" fillId="0" borderId="0" pivotButton="0" quotePrefix="0" xfId="0"/>
    <xf numFmtId="167" fontId="2" fillId="0" borderId="0" pivotButton="0" quotePrefix="0" xfId="0"/>
    <xf numFmtId="170" fontId="2" fillId="0" borderId="0" pivotButton="0" quotePrefix="0" xfId="0"/>
    <xf numFmtId="0" fontId="4" fillId="5" borderId="0" pivotButton="0" quotePrefix="0" xfId="0"/>
    <xf numFmtId="169" fontId="4" fillId="5" borderId="0" pivotButton="0" quotePrefix="0" xfId="0"/>
    <xf numFmtId="166" fontId="2" fillId="0" borderId="0" pivotButton="0" quotePrefix="0" xfId="0"/>
    <xf numFmtId="167" fontId="4" fillId="5" borderId="0" pivotButton="0" quotePrefix="0" xfId="0"/>
    <xf numFmtId="168" fontId="2" fillId="0" borderId="0" pivotButton="0" quotePrefix="0" xfId="0"/>
    <xf numFmtId="164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0" customWidth="1" min="2" max="2"/>
  </cols>
  <sheetData>
    <row r="1" ht="10" customHeight="1"/>
    <row r="2">
      <c r="B2" s="1" t="inlineStr">
        <is>
          <t>The Fixed Income Trader: companion workbook</t>
        </is>
      </c>
    </row>
    <row r="4">
      <c r="B4" s="2" t="inlineStr">
        <is>
          <t>This workbook rebuilds the Thornbury Vale case of The Fixed Income Trader (Julian R. Sterling, 2026) with live formulas.</t>
        </is>
      </c>
    </row>
    <row r="5">
      <c r="B5" s="2" t="inlineStr">
        <is>
          <t>Blue cells on a light blue background are inputs. Everything else is a formula. Yields and spreads in percent or basis points as labeled; prices in points per 100 of face.</t>
        </is>
      </c>
    </row>
    <row r="6">
      <c r="B6" s="2" t="inlineStr">
        <is>
          <t>Bonds pay semiannual coupons and are priced on a coupon date (no accrued interest), as in the book.</t>
        </is>
      </c>
    </row>
    <row r="7">
      <c r="B7" s="2" t="inlineStr">
        <is>
          <t>Inputs: every assumption of the case (curve, bonds, client trade, day two, repo, risk, desk economics, portfolio trade).</t>
        </is>
      </c>
    </row>
    <row r="8">
      <c r="B8" s="2" t="inlineStr">
        <is>
          <t>Bond Pricing (Chapters 4 and 6): price, DV01 and modified duration of the four Treasuries and the corporate bond; the 10-year note cash flow by cash flow.</t>
        </is>
      </c>
    </row>
    <row r="9">
      <c r="B9" s="2" t="inlineStr">
        <is>
          <t>Curve and Roll (Chapter 5): slopes, roll-down of the 10-year note, the DV01-neutral 2s10s steepener.</t>
        </is>
      </c>
    </row>
    <row r="10">
      <c r="B10" s="2" t="inlineStr">
        <is>
          <t>Client Trade (Chapters 7, 8 and 9): the request for quote, the edge, the hedge, day two, the resale, the ticket P&amp;L and the carry.</t>
        </is>
      </c>
    </row>
    <row r="11">
      <c r="B11" s="2" t="inlineStr">
        <is>
          <t>Risk (Chapter 10): limits, value at risk and stress tests.</t>
        </is>
      </c>
    </row>
    <row r="12">
      <c r="B12" s="2" t="inlineStr">
        <is>
          <t>Desk P&amp;L (Chapters 12 and 14): the desk's 2025 economics and the portfolio trade.</t>
        </is>
      </c>
    </row>
    <row r="13">
      <c r="B13" s="2" t="inlineStr">
        <is>
          <t>Checks: the figures printed in the book beside the formulas that produce them. ALL CHECKS OK on the default inputs.</t>
        </is>
      </c>
    </row>
    <row r="14">
      <c r="B14" s="2" t="inlineStr">
        <is>
          <t>Everything in the case is fictional and illustrative: the market levels are teaching assumptions, not the market on any date. Nothing here is investment, trading, legal, tax or accounting advice. No macro, no circular reference, no external link.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5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2" customWidth="1" min="2" max="2"/>
    <col width="14" customWidth="1" min="3" max="3"/>
    <col width="44" customWidth="1" min="4" max="4"/>
  </cols>
  <sheetData>
    <row r="1" ht="10" customHeight="1"/>
    <row r="2">
      <c r="B2" s="1" t="inlineStr">
        <is>
          <t>Inputs (blue cells)</t>
        </is>
      </c>
      <c r="C2" s="3" t="n"/>
      <c r="D2" s="3" t="n"/>
    </row>
    <row r="4">
      <c r="B4" s="4" t="inlineStr">
        <is>
          <t>Assumption</t>
        </is>
      </c>
      <c r="C4" s="4" t="inlineStr">
        <is>
          <t>Value</t>
        </is>
      </c>
      <c r="D4" s="4" t="inlineStr">
        <is>
          <t>Note</t>
        </is>
      </c>
    </row>
    <row r="5">
      <c r="B5" s="5" t="inlineStr">
        <is>
          <t>Curve (par yields, percent)</t>
        </is>
      </c>
    </row>
    <row r="6">
      <c r="B6" s="2" t="inlineStr">
        <is>
          <t>2-year Treasury yield</t>
        </is>
      </c>
      <c r="C6" s="6" t="n">
        <v>3.9</v>
      </c>
    </row>
    <row r="7">
      <c r="B7" s="2" t="inlineStr">
        <is>
          <t>5-year Treasury yield</t>
        </is>
      </c>
      <c r="C7" s="6" t="n">
        <v>3.95</v>
      </c>
    </row>
    <row r="8">
      <c r="B8" s="2" t="inlineStr">
        <is>
          <t>7-year Treasury yield</t>
        </is>
      </c>
      <c r="C8" s="6" t="n">
        <v>4.1</v>
      </c>
    </row>
    <row r="9">
      <c r="B9" s="2" t="inlineStr">
        <is>
          <t>10-year Treasury yield</t>
        </is>
      </c>
      <c r="C9" s="6" t="n">
        <v>4.25</v>
      </c>
    </row>
    <row r="10">
      <c r="B10" s="2" t="inlineStr">
        <is>
          <t>30-year Treasury yield</t>
        </is>
      </c>
      <c r="C10" s="6" t="n">
        <v>4.7</v>
      </c>
    </row>
    <row r="11">
      <c r="B11" s="5" t="inlineStr">
        <is>
          <t>Treasury coupons (percent)</t>
        </is>
      </c>
    </row>
    <row r="12">
      <c r="B12" s="2" t="inlineStr">
        <is>
          <t>2-year note coupon</t>
        </is>
      </c>
      <c r="C12" s="7" t="n">
        <v>3.875</v>
      </c>
    </row>
    <row r="13">
      <c r="B13" s="2" t="inlineStr">
        <is>
          <t>7-year note coupon</t>
        </is>
      </c>
      <c r="C13" s="7" t="n">
        <v>4</v>
      </c>
    </row>
    <row r="14">
      <c r="B14" s="2" t="inlineStr">
        <is>
          <t>10-year note coupon</t>
        </is>
      </c>
      <c r="C14" s="7" t="n">
        <v>4.25</v>
      </c>
    </row>
    <row r="15">
      <c r="B15" s="2" t="inlineStr">
        <is>
          <t>30-year bond coupon</t>
        </is>
      </c>
      <c r="C15" s="7" t="n">
        <v>4.625</v>
      </c>
    </row>
    <row r="16">
      <c r="B16" s="5" t="inlineStr">
        <is>
          <t>Corporate bond</t>
        </is>
      </c>
    </row>
    <row r="17">
      <c r="B17" s="2" t="inlineStr">
        <is>
          <t>Coupon (percent)</t>
        </is>
      </c>
      <c r="C17" s="6" t="n">
        <v>5</v>
      </c>
    </row>
    <row r="18">
      <c r="B18" s="2" t="inlineStr">
        <is>
          <t>Maturity (years)</t>
        </is>
      </c>
      <c r="C18" s="8" t="n">
        <v>7</v>
      </c>
    </row>
    <row r="19">
      <c r="B19" s="2" t="inlineStr">
        <is>
          <t>Mid spread over the 7-year Treasury (bp)</t>
        </is>
      </c>
      <c r="C19" s="8" t="n">
        <v>105</v>
      </c>
    </row>
    <row r="20">
      <c r="B20" s="2" t="inlineStr">
        <is>
          <t>Desk bid spread (bp)</t>
        </is>
      </c>
      <c r="C20" s="8" t="n">
        <v>110</v>
      </c>
    </row>
    <row r="21">
      <c r="B21" s="5" t="inlineStr">
        <is>
          <t>Client trade</t>
        </is>
      </c>
    </row>
    <row r="22">
      <c r="B22" s="2" t="inlineStr">
        <is>
          <t>Client sale ($ million face)</t>
        </is>
      </c>
      <c r="C22" s="9" t="n">
        <v>20</v>
      </c>
    </row>
    <row r="23">
      <c r="B23" s="2" t="inlineStr">
        <is>
          <t>Day two: change in Treasury yields (bp)</t>
        </is>
      </c>
      <c r="C23" s="8" t="n">
        <v>-8</v>
      </c>
    </row>
    <row r="24">
      <c r="B24" s="2" t="inlineStr">
        <is>
          <t>Day two: change in the bond's spread (bp)</t>
        </is>
      </c>
      <c r="C24" s="8" t="n">
        <v>3</v>
      </c>
    </row>
    <row r="25">
      <c r="B25" s="2" t="inlineStr">
        <is>
          <t>Resale size ($ million face)</t>
        </is>
      </c>
      <c r="C25" s="9" t="n">
        <v>10</v>
      </c>
    </row>
    <row r="26">
      <c r="B26" s="2" t="inlineStr">
        <is>
          <t>Resale spread (bp)</t>
        </is>
      </c>
      <c r="C26" s="8" t="n">
        <v>107</v>
      </c>
    </row>
    <row r="27">
      <c r="B27" s="5" t="inlineStr">
        <is>
          <t>Funding (overnight repo, percent)</t>
        </is>
      </c>
    </row>
    <row r="28">
      <c r="B28" s="2" t="inlineStr">
        <is>
          <t>Repo rate paid on the corporate bond</t>
        </is>
      </c>
      <c r="C28" s="6" t="n">
        <v>4.45</v>
      </c>
    </row>
    <row r="29">
      <c r="B29" s="2" t="inlineStr">
        <is>
          <t>Repo rate earned on the short Treasury</t>
        </is>
      </c>
      <c r="C29" s="6" t="n">
        <v>4.3</v>
      </c>
    </row>
    <row r="30">
      <c r="B30" s="5" t="inlineStr">
        <is>
          <t>Risk</t>
        </is>
      </c>
    </row>
    <row r="31">
      <c r="B31" s="2" t="inlineStr">
        <is>
          <t>Net DV01 limit ($ per bp)</t>
        </is>
      </c>
      <c r="C31" s="10" t="n">
        <v>250000</v>
      </c>
    </row>
    <row r="32">
      <c r="B32" s="2" t="inlineStr">
        <is>
          <t>CS01 limit ($ per bp)</t>
        </is>
      </c>
      <c r="C32" s="10" t="n">
        <v>150000</v>
      </c>
    </row>
    <row r="33">
      <c r="B33" s="2" t="inlineStr">
        <is>
          <t>Book net DV01 before the trade ($ per bp)</t>
        </is>
      </c>
      <c r="C33" s="10" t="n">
        <v>180000</v>
      </c>
    </row>
    <row r="34">
      <c r="B34" s="2" t="inlineStr">
        <is>
          <t>Book CS01 before the trade ($ per bp)</t>
        </is>
      </c>
      <c r="C34" s="10" t="n">
        <v>95000</v>
      </c>
    </row>
    <row r="35">
      <c r="B35" s="2" t="inlineStr">
        <is>
          <t>Daily yield volatility (bp)</t>
        </is>
      </c>
      <c r="C35" s="9" t="n">
        <v>6</v>
      </c>
    </row>
    <row r="36">
      <c r="B36" s="2" t="inlineStr">
        <is>
          <t>99 percent one-tailed z-score</t>
        </is>
      </c>
      <c r="C36" s="6" t="n">
        <v>2.33</v>
      </c>
    </row>
    <row r="37">
      <c r="B37" s="2" t="inlineStr">
        <is>
          <t>Rates stress (bp, parallel rise)</t>
        </is>
      </c>
      <c r="C37" s="8" t="n">
        <v>100</v>
      </c>
    </row>
    <row r="38">
      <c r="B38" s="2" t="inlineStr">
        <is>
          <t>Spread stress (bp, widening)</t>
        </is>
      </c>
      <c r="C38" s="8" t="n">
        <v>50</v>
      </c>
    </row>
    <row r="39">
      <c r="B39" s="5" t="inlineStr">
        <is>
          <t>Desk economics 2025</t>
        </is>
      </c>
    </row>
    <row r="40">
      <c r="B40" s="2" t="inlineStr">
        <is>
          <t>Requests for quote a day</t>
        </is>
      </c>
      <c r="C40" s="10" t="n">
        <v>600</v>
      </c>
    </row>
    <row r="41">
      <c r="B41" s="2" t="inlineStr">
        <is>
          <t>Hit ratio</t>
        </is>
      </c>
      <c r="C41" s="11" t="n">
        <v>0.14</v>
      </c>
    </row>
    <row r="42">
      <c r="B42" s="2" t="inlineStr">
        <is>
          <t>Average ticket ($ million)</t>
        </is>
      </c>
      <c r="C42" s="9" t="n">
        <v>2.5</v>
      </c>
    </row>
    <row r="43">
      <c r="B43" s="2" t="inlineStr">
        <is>
          <t>Trading days</t>
        </is>
      </c>
      <c r="C43" s="10" t="n">
        <v>250</v>
      </c>
    </row>
    <row r="44">
      <c r="B44" s="2" t="inlineStr">
        <is>
          <t>Captured edge (points per 100 face)</t>
        </is>
      </c>
      <c r="C44" s="6" t="n">
        <v>0.09</v>
      </c>
    </row>
    <row r="45">
      <c r="B45" s="2" t="inlineStr">
        <is>
          <t>Risk management P&amp;L ($ million)</t>
        </is>
      </c>
      <c r="C45" s="9" t="n">
        <v>6</v>
      </c>
    </row>
    <row r="46">
      <c r="B46" s="2" t="inlineStr">
        <is>
          <t>Portfolio trading revenue ($ million)</t>
        </is>
      </c>
      <c r="C46" s="9" t="n">
        <v>9</v>
      </c>
    </row>
    <row r="47">
      <c r="B47" s="2" t="inlineStr">
        <is>
          <t>Net carry on inventory ($ million)</t>
        </is>
      </c>
      <c r="C47" s="9" t="n">
        <v>4</v>
      </c>
    </row>
    <row r="48">
      <c r="B48" s="2" t="inlineStr">
        <is>
          <t>Direct costs ($ million)</t>
        </is>
      </c>
      <c r="C48" s="9" t="n">
        <v>27</v>
      </c>
    </row>
    <row r="49">
      <c r="B49" s="2" t="inlineStr">
        <is>
          <t>Allocated equity capital ($ million)</t>
        </is>
      </c>
      <c r="C49" s="9" t="n">
        <v>150</v>
      </c>
    </row>
    <row r="50">
      <c r="B50" s="2" t="inlineStr">
        <is>
          <t>Headcount</t>
        </is>
      </c>
      <c r="C50" s="8" t="n">
        <v>14</v>
      </c>
    </row>
    <row r="51">
      <c r="B51" s="5" t="inlineStr">
        <is>
          <t>Portfolio trade</t>
        </is>
      </c>
    </row>
    <row r="52">
      <c r="B52" s="2" t="inlineStr">
        <is>
          <t>Size ($ million face)</t>
        </is>
      </c>
      <c r="C52" s="9" t="n">
        <v>250</v>
      </c>
    </row>
    <row r="53">
      <c r="B53" s="2" t="inlineStr">
        <is>
          <t>Number of bonds</t>
        </is>
      </c>
      <c r="C53" s="8" t="n">
        <v>80</v>
      </c>
    </row>
    <row r="54">
      <c r="B54" s="2" t="inlineStr">
        <is>
          <t>Bid below composite mid (points)</t>
        </is>
      </c>
      <c r="C54" s="6" t="n">
        <v>0.3</v>
      </c>
    </row>
    <row r="55">
      <c r="B55" s="2" t="inlineStr">
        <is>
          <t>Expected unwind cost (points)</t>
        </is>
      </c>
      <c r="C55" s="6" t="n">
        <v>0.17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I4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1" customWidth="1" min="3" max="3"/>
    <col width="11" customWidth="1" min="4" max="4"/>
    <col width="10" customWidth="1" min="5" max="5"/>
    <col width="12" customWidth="1" min="6" max="6"/>
    <col width="13" customWidth="1" min="7" max="7"/>
    <col width="15" customWidth="1" min="8" max="8"/>
    <col width="13" customWidth="1" min="9" max="9"/>
  </cols>
  <sheetData>
    <row r="1" ht="10" customHeight="1"/>
    <row r="2">
      <c r="B2" s="1" t="inlineStr">
        <is>
          <t>Bond Pricing: price, DV01, duration</t>
        </is>
      </c>
      <c r="C2" s="3" t="n"/>
      <c r="D2" s="3" t="n"/>
      <c r="E2" s="3" t="n"/>
      <c r="F2" s="3" t="n"/>
      <c r="G2" s="3" t="n"/>
      <c r="H2" s="3" t="n"/>
      <c r="I2" s="3" t="n"/>
    </row>
    <row r="4">
      <c r="B4" s="4" t="inlineStr">
        <is>
          <t>Bond</t>
        </is>
      </c>
      <c r="C4" s="4" t="inlineStr">
        <is>
          <t>Coupon (%)</t>
        </is>
      </c>
      <c r="D4" s="4" t="inlineStr">
        <is>
          <t>Yield (%)</t>
        </is>
      </c>
      <c r="E4" s="4" t="inlineStr">
        <is>
          <t>Years</t>
        </is>
      </c>
      <c r="F4" s="4" t="inlineStr">
        <is>
          <t>Price (per 100)</t>
        </is>
      </c>
      <c r="G4" s="4" t="inlineStr">
        <is>
          <t>DV01 (per 100)</t>
        </is>
      </c>
      <c r="H4" s="4" t="inlineStr">
        <is>
          <t>DV01 ($ per $1m)</t>
        </is>
      </c>
      <c r="I4" s="4" t="inlineStr">
        <is>
          <t>Mod. duration</t>
        </is>
      </c>
    </row>
    <row r="5">
      <c r="B5" s="2" t="inlineStr">
        <is>
          <t>2-year note</t>
        </is>
      </c>
      <c r="C5" s="12">
        <f>Inputs!$C$12</f>
        <v/>
      </c>
      <c r="D5" s="13">
        <f>Inputs!$C$6</f>
        <v/>
      </c>
      <c r="E5" s="14" t="n">
        <v>2</v>
      </c>
      <c r="F5" s="15">
        <f>((C5)/2)/((D5)/200)*(1-(1+(D5)/200)^(-2*(E5)))+100*(1+(D5)/200)^(-2*(E5))</f>
        <v/>
      </c>
      <c r="G5" s="15">
        <f>(((C5)/2)/((D5-0.01)/200)*(1-(1+(D5-0.01)/200)^(-2*(E5)))+100*(1+(D5-0.01)/200)^(-2*(E5))-(((C5)/2)/((D5+0.01)/200)*(1-(1+(D5+0.01)/200)^(-2*(E5)))+100*(1+(D5+0.01)/200)^(-2*(E5))))/2</f>
        <v/>
      </c>
      <c r="H5" s="16">
        <f>G5*10000</f>
        <v/>
      </c>
      <c r="I5" s="13">
        <f>G5/F5*10000</f>
        <v/>
      </c>
    </row>
    <row r="6">
      <c r="B6" s="2" t="inlineStr">
        <is>
          <t>7-year note</t>
        </is>
      </c>
      <c r="C6" s="12">
        <f>Inputs!$C$13</f>
        <v/>
      </c>
      <c r="D6" s="13">
        <f>Inputs!$C$8</f>
        <v/>
      </c>
      <c r="E6" s="14" t="n">
        <v>7</v>
      </c>
      <c r="F6" s="15">
        <f>((C6)/2)/((D6)/200)*(1-(1+(D6)/200)^(-2*(E6)))+100*(1+(D6)/200)^(-2*(E6))</f>
        <v/>
      </c>
      <c r="G6" s="15">
        <f>(((C6)/2)/((D6-0.01)/200)*(1-(1+(D6-0.01)/200)^(-2*(E6)))+100*(1+(D6-0.01)/200)^(-2*(E6))-(((C6)/2)/((D6+0.01)/200)*(1-(1+(D6+0.01)/200)^(-2*(E6)))+100*(1+(D6+0.01)/200)^(-2*(E6))))/2</f>
        <v/>
      </c>
      <c r="H6" s="16">
        <f>G6*10000</f>
        <v/>
      </c>
      <c r="I6" s="13">
        <f>G6/F6*10000</f>
        <v/>
      </c>
    </row>
    <row r="7">
      <c r="B7" s="2" t="inlineStr">
        <is>
          <t>10-year note</t>
        </is>
      </c>
      <c r="C7" s="12">
        <f>Inputs!$C$14</f>
        <v/>
      </c>
      <c r="D7" s="13">
        <f>Inputs!$C$9</f>
        <v/>
      </c>
      <c r="E7" s="14" t="n">
        <v>10</v>
      </c>
      <c r="F7" s="15">
        <f>((C7)/2)/((D7)/200)*(1-(1+(D7)/200)^(-2*(E7)))+100*(1+(D7)/200)^(-2*(E7))</f>
        <v/>
      </c>
      <c r="G7" s="15">
        <f>(((C7)/2)/((D7-0.01)/200)*(1-(1+(D7-0.01)/200)^(-2*(E7)))+100*(1+(D7-0.01)/200)^(-2*(E7))-(((C7)/2)/((D7+0.01)/200)*(1-(1+(D7+0.01)/200)^(-2*(E7)))+100*(1+(D7+0.01)/200)^(-2*(E7))))/2</f>
        <v/>
      </c>
      <c r="H7" s="16">
        <f>G7*10000</f>
        <v/>
      </c>
      <c r="I7" s="13">
        <f>G7/F7*10000</f>
        <v/>
      </c>
    </row>
    <row r="8">
      <c r="B8" s="2" t="inlineStr">
        <is>
          <t>30-year bond</t>
        </is>
      </c>
      <c r="C8" s="12">
        <f>Inputs!$C$15</f>
        <v/>
      </c>
      <c r="D8" s="13">
        <f>Inputs!$C$10</f>
        <v/>
      </c>
      <c r="E8" s="14" t="n">
        <v>30</v>
      </c>
      <c r="F8" s="15">
        <f>((C8)/2)/((D8)/200)*(1-(1+(D8)/200)^(-2*(E8)))+100*(1+(D8)/200)^(-2*(E8))</f>
        <v/>
      </c>
      <c r="G8" s="15">
        <f>(((C8)/2)/((D8-0.01)/200)*(1-(1+(D8-0.01)/200)^(-2*(E8)))+100*(1+(D8-0.01)/200)^(-2*(E8))-(((C8)/2)/((D8+0.01)/200)*(1-(1+(D8+0.01)/200)^(-2*(E8)))+100*(1+(D8+0.01)/200)^(-2*(E8))))/2</f>
        <v/>
      </c>
      <c r="H8" s="16">
        <f>G8*10000</f>
        <v/>
      </c>
      <c r="I8" s="13">
        <f>G8/F8*10000</f>
        <v/>
      </c>
    </row>
    <row r="9">
      <c r="B9" s="2" t="inlineStr">
        <is>
          <t>Corporate bond at mid</t>
        </is>
      </c>
      <c r="C9" s="12">
        <f>Inputs!$C$17</f>
        <v/>
      </c>
      <c r="D9" s="13">
        <f>Inputs!$C$8+Inputs!$C$19/100</f>
        <v/>
      </c>
      <c r="E9" s="14">
        <f>Inputs!$C$18</f>
        <v/>
      </c>
      <c r="F9" s="15">
        <f>((C9)/2)/((D9)/200)*(1-(1+(D9)/200)^(-2*(E9)))+100*(1+(D9)/200)^(-2*(E9))</f>
        <v/>
      </c>
      <c r="G9" s="15">
        <f>(((C9)/2)/((D9-0.01)/200)*(1-(1+(D9-0.01)/200)^(-2*(E9)))+100*(1+(D9-0.01)/200)^(-2*(E9))-(((C9)/2)/((D9+0.01)/200)*(1-(1+(D9+0.01)/200)^(-2*(E9)))+100*(1+(D9+0.01)/200)^(-2*(E9))))/2</f>
        <v/>
      </c>
      <c r="H9" s="16">
        <f>G9*10000</f>
        <v/>
      </c>
      <c r="I9" s="13">
        <f>G9/F9*10000</f>
        <v/>
      </c>
    </row>
    <row r="10">
      <c r="B10" s="2" t="inlineStr">
        <is>
          <t>Corporate bond at the desk bid</t>
        </is>
      </c>
      <c r="C10" s="12">
        <f>Inputs!$C$17</f>
        <v/>
      </c>
      <c r="D10" s="13">
        <f>Inputs!$C$8+Inputs!$C$20/100</f>
        <v/>
      </c>
      <c r="E10" s="14">
        <f>Inputs!$C$18</f>
        <v/>
      </c>
      <c r="F10" s="15">
        <f>((C10)/2)/((D10)/200)*(1-(1+(D10)/200)^(-2*(E10)))+100*(1+(D10)/200)^(-2*(E10))</f>
        <v/>
      </c>
      <c r="G10" s="15">
        <f>(((C10)/2)/((D10-0.01)/200)*(1-(1+(D10-0.01)/200)^(-2*(E10)))+100*(1+(D10-0.01)/200)^(-2*(E10))-(((C10)/2)/((D10+0.01)/200)*(1-(1+(D10+0.01)/200)^(-2*(E10)))+100*(1+(D10+0.01)/200)^(-2*(E10))))/2</f>
        <v/>
      </c>
      <c r="H10" s="16">
        <f>G10*10000</f>
        <v/>
      </c>
      <c r="I10" s="13">
        <f>G10/F10*10000</f>
        <v/>
      </c>
    </row>
    <row r="13">
      <c r="B13" s="5" t="inlineStr">
        <is>
          <t>10-year note: yield shocks</t>
        </is>
      </c>
    </row>
    <row r="14">
      <c r="B14" s="4" t="inlineStr">
        <is>
          <t>Shock (bp)</t>
        </is>
      </c>
      <c r="C14" s="4" t="inlineStr">
        <is>
          <t>Yield (%)</t>
        </is>
      </c>
      <c r="D14" s="4" t="inlineStr">
        <is>
          <t>Price</t>
        </is>
      </c>
      <c r="E14" s="4" t="inlineStr">
        <is>
          <t>Change (points)</t>
        </is>
      </c>
    </row>
    <row r="15">
      <c r="B15" s="14" t="n">
        <v>-100</v>
      </c>
      <c r="C15" s="13">
        <f>Inputs!$C$9+B15/100</f>
        <v/>
      </c>
      <c r="D15" s="13">
        <f>((Inputs!$C$14)/2)/((C15)/200)*(1-(1+(C15)/200)^(-2*(10)))+100*(1+(C15)/200)^(-2*(10))</f>
        <v/>
      </c>
      <c r="E15" s="13">
        <f>D15-F7</f>
        <v/>
      </c>
    </row>
    <row r="16">
      <c r="B16" s="14" t="n">
        <v>-10</v>
      </c>
      <c r="C16" s="13">
        <f>Inputs!$C$9+B16/100</f>
        <v/>
      </c>
      <c r="D16" s="13">
        <f>((Inputs!$C$14)/2)/((C16)/200)*(1-(1+(C16)/200)^(-2*(10)))+100*(1+(C16)/200)^(-2*(10))</f>
        <v/>
      </c>
      <c r="E16" s="13">
        <f>D16-F7</f>
        <v/>
      </c>
    </row>
    <row r="17">
      <c r="B17" s="14" t="n">
        <v>10</v>
      </c>
      <c r="C17" s="13">
        <f>Inputs!$C$9+B17/100</f>
        <v/>
      </c>
      <c r="D17" s="13">
        <f>((Inputs!$C$14)/2)/((C17)/200)*(1-(1+(C17)/200)^(-2*(10)))+100*(1+(C17)/200)^(-2*(10))</f>
        <v/>
      </c>
      <c r="E17" s="13">
        <f>D17-F7</f>
        <v/>
      </c>
    </row>
    <row r="18">
      <c r="B18" s="14" t="n">
        <v>100</v>
      </c>
      <c r="C18" s="13">
        <f>Inputs!$C$9+B18/100</f>
        <v/>
      </c>
      <c r="D18" s="13">
        <f>((Inputs!$C$14)/2)/((C18)/200)*(1-(1+(C18)/200)^(-2*(10)))+100*(1+(C18)/200)^(-2*(10))</f>
        <v/>
      </c>
      <c r="E18" s="13">
        <f>D18-F7</f>
        <v/>
      </c>
    </row>
    <row r="20">
      <c r="B20" s="5" t="inlineStr">
        <is>
          <t>10-year note, cash flow by cash flow (per 100 face)</t>
        </is>
      </c>
    </row>
    <row r="21">
      <c r="B21" s="4" t="inlineStr">
        <is>
          <t>Period (half-years)</t>
        </is>
      </c>
      <c r="C21" s="4" t="inlineStr">
        <is>
          <t>Cash flow</t>
        </is>
      </c>
      <c r="D21" s="4" t="inlineStr">
        <is>
          <t>Discount factor</t>
        </is>
      </c>
      <c r="E21" s="4" t="inlineStr">
        <is>
          <t>Present value</t>
        </is>
      </c>
    </row>
    <row r="22">
      <c r="B22" s="14" t="n">
        <v>1</v>
      </c>
      <c r="C22" s="12">
        <f>Inputs!$C$14/2+IF(B22=20,100,0)</f>
        <v/>
      </c>
      <c r="D22" s="17">
        <f>(1+Inputs!$C$9/200)^(-B22)</f>
        <v/>
      </c>
      <c r="E22" s="15">
        <f>C22*D22</f>
        <v/>
      </c>
    </row>
    <row r="23">
      <c r="B23" s="14" t="n">
        <v>2</v>
      </c>
      <c r="C23" s="12">
        <f>Inputs!$C$14/2+IF(B23=20,100,0)</f>
        <v/>
      </c>
      <c r="D23" s="17">
        <f>(1+Inputs!$C$9/200)^(-B23)</f>
        <v/>
      </c>
      <c r="E23" s="15">
        <f>C23*D23</f>
        <v/>
      </c>
    </row>
    <row r="24">
      <c r="B24" s="14" t="n">
        <v>3</v>
      </c>
      <c r="C24" s="12">
        <f>Inputs!$C$14/2+IF(B24=20,100,0)</f>
        <v/>
      </c>
      <c r="D24" s="17">
        <f>(1+Inputs!$C$9/200)^(-B24)</f>
        <v/>
      </c>
      <c r="E24" s="15">
        <f>C24*D24</f>
        <v/>
      </c>
    </row>
    <row r="25">
      <c r="B25" s="14" t="n">
        <v>4</v>
      </c>
      <c r="C25" s="12">
        <f>Inputs!$C$14/2+IF(B25=20,100,0)</f>
        <v/>
      </c>
      <c r="D25" s="17">
        <f>(1+Inputs!$C$9/200)^(-B25)</f>
        <v/>
      </c>
      <c r="E25" s="15">
        <f>C25*D25</f>
        <v/>
      </c>
    </row>
    <row r="26">
      <c r="B26" s="14" t="n">
        <v>5</v>
      </c>
      <c r="C26" s="12">
        <f>Inputs!$C$14/2+IF(B26=20,100,0)</f>
        <v/>
      </c>
      <c r="D26" s="17">
        <f>(1+Inputs!$C$9/200)^(-B26)</f>
        <v/>
      </c>
      <c r="E26" s="15">
        <f>C26*D26</f>
        <v/>
      </c>
    </row>
    <row r="27">
      <c r="B27" s="14" t="n">
        <v>6</v>
      </c>
      <c r="C27" s="12">
        <f>Inputs!$C$14/2+IF(B27=20,100,0)</f>
        <v/>
      </c>
      <c r="D27" s="17">
        <f>(1+Inputs!$C$9/200)^(-B27)</f>
        <v/>
      </c>
      <c r="E27" s="15">
        <f>C27*D27</f>
        <v/>
      </c>
    </row>
    <row r="28">
      <c r="B28" s="14" t="n">
        <v>7</v>
      </c>
      <c r="C28" s="12">
        <f>Inputs!$C$14/2+IF(B28=20,100,0)</f>
        <v/>
      </c>
      <c r="D28" s="17">
        <f>(1+Inputs!$C$9/200)^(-B28)</f>
        <v/>
      </c>
      <c r="E28" s="15">
        <f>C28*D28</f>
        <v/>
      </c>
    </row>
    <row r="29">
      <c r="B29" s="14" t="n">
        <v>8</v>
      </c>
      <c r="C29" s="12">
        <f>Inputs!$C$14/2+IF(B29=20,100,0)</f>
        <v/>
      </c>
      <c r="D29" s="17">
        <f>(1+Inputs!$C$9/200)^(-B29)</f>
        <v/>
      </c>
      <c r="E29" s="15">
        <f>C29*D29</f>
        <v/>
      </c>
    </row>
    <row r="30">
      <c r="B30" s="14" t="n">
        <v>9</v>
      </c>
      <c r="C30" s="12">
        <f>Inputs!$C$14/2+IF(B30=20,100,0)</f>
        <v/>
      </c>
      <c r="D30" s="17">
        <f>(1+Inputs!$C$9/200)^(-B30)</f>
        <v/>
      </c>
      <c r="E30" s="15">
        <f>C30*D30</f>
        <v/>
      </c>
    </row>
    <row r="31">
      <c r="B31" s="14" t="n">
        <v>10</v>
      </c>
      <c r="C31" s="12">
        <f>Inputs!$C$14/2+IF(B31=20,100,0)</f>
        <v/>
      </c>
      <c r="D31" s="17">
        <f>(1+Inputs!$C$9/200)^(-B31)</f>
        <v/>
      </c>
      <c r="E31" s="15">
        <f>C31*D31</f>
        <v/>
      </c>
    </row>
    <row r="32">
      <c r="B32" s="14" t="n">
        <v>11</v>
      </c>
      <c r="C32" s="12">
        <f>Inputs!$C$14/2+IF(B32=20,100,0)</f>
        <v/>
      </c>
      <c r="D32" s="17">
        <f>(1+Inputs!$C$9/200)^(-B32)</f>
        <v/>
      </c>
      <c r="E32" s="15">
        <f>C32*D32</f>
        <v/>
      </c>
    </row>
    <row r="33">
      <c r="B33" s="14" t="n">
        <v>12</v>
      </c>
      <c r="C33" s="12">
        <f>Inputs!$C$14/2+IF(B33=20,100,0)</f>
        <v/>
      </c>
      <c r="D33" s="17">
        <f>(1+Inputs!$C$9/200)^(-B33)</f>
        <v/>
      </c>
      <c r="E33" s="15">
        <f>C33*D33</f>
        <v/>
      </c>
    </row>
    <row r="34">
      <c r="B34" s="14" t="n">
        <v>13</v>
      </c>
      <c r="C34" s="12">
        <f>Inputs!$C$14/2+IF(B34=20,100,0)</f>
        <v/>
      </c>
      <c r="D34" s="17">
        <f>(1+Inputs!$C$9/200)^(-B34)</f>
        <v/>
      </c>
      <c r="E34" s="15">
        <f>C34*D34</f>
        <v/>
      </c>
    </row>
    <row r="35">
      <c r="B35" s="14" t="n">
        <v>14</v>
      </c>
      <c r="C35" s="12">
        <f>Inputs!$C$14/2+IF(B35=20,100,0)</f>
        <v/>
      </c>
      <c r="D35" s="17">
        <f>(1+Inputs!$C$9/200)^(-B35)</f>
        <v/>
      </c>
      <c r="E35" s="15">
        <f>C35*D35</f>
        <v/>
      </c>
    </row>
    <row r="36">
      <c r="B36" s="14" t="n">
        <v>15</v>
      </c>
      <c r="C36" s="12">
        <f>Inputs!$C$14/2+IF(B36=20,100,0)</f>
        <v/>
      </c>
      <c r="D36" s="17">
        <f>(1+Inputs!$C$9/200)^(-B36)</f>
        <v/>
      </c>
      <c r="E36" s="15">
        <f>C36*D36</f>
        <v/>
      </c>
    </row>
    <row r="37">
      <c r="B37" s="14" t="n">
        <v>16</v>
      </c>
      <c r="C37" s="12">
        <f>Inputs!$C$14/2+IF(B37=20,100,0)</f>
        <v/>
      </c>
      <c r="D37" s="17">
        <f>(1+Inputs!$C$9/200)^(-B37)</f>
        <v/>
      </c>
      <c r="E37" s="15">
        <f>C37*D37</f>
        <v/>
      </c>
    </row>
    <row r="38">
      <c r="B38" s="14" t="n">
        <v>17</v>
      </c>
      <c r="C38" s="12">
        <f>Inputs!$C$14/2+IF(B38=20,100,0)</f>
        <v/>
      </c>
      <c r="D38" s="17">
        <f>(1+Inputs!$C$9/200)^(-B38)</f>
        <v/>
      </c>
      <c r="E38" s="15">
        <f>C38*D38</f>
        <v/>
      </c>
    </row>
    <row r="39">
      <c r="B39" s="14" t="n">
        <v>18</v>
      </c>
      <c r="C39" s="12">
        <f>Inputs!$C$14/2+IF(B39=20,100,0)</f>
        <v/>
      </c>
      <c r="D39" s="17">
        <f>(1+Inputs!$C$9/200)^(-B39)</f>
        <v/>
      </c>
      <c r="E39" s="15">
        <f>C39*D39</f>
        <v/>
      </c>
    </row>
    <row r="40">
      <c r="B40" s="14" t="n">
        <v>19</v>
      </c>
      <c r="C40" s="12">
        <f>Inputs!$C$14/2+IF(B40=20,100,0)</f>
        <v/>
      </c>
      <c r="D40" s="17">
        <f>(1+Inputs!$C$9/200)^(-B40)</f>
        <v/>
      </c>
      <c r="E40" s="15">
        <f>C40*D40</f>
        <v/>
      </c>
    </row>
    <row r="41">
      <c r="B41" s="14" t="n">
        <v>20</v>
      </c>
      <c r="C41" s="12">
        <f>Inputs!$C$14/2+IF(B41=20,100,0)</f>
        <v/>
      </c>
      <c r="D41" s="17">
        <f>(1+Inputs!$C$9/200)^(-B41)</f>
        <v/>
      </c>
      <c r="E41" s="15">
        <f>C41*D41</f>
        <v/>
      </c>
    </row>
    <row r="42">
      <c r="B42" s="18" t="inlineStr">
        <is>
          <t>Sum = price</t>
        </is>
      </c>
      <c r="E42" s="19">
        <f>SUM(E22:E41)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C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6" customWidth="1" min="3" max="3"/>
  </cols>
  <sheetData>
    <row r="1" ht="10" customHeight="1"/>
    <row r="2">
      <c r="B2" s="1" t="inlineStr">
        <is>
          <t>Curve, roll-down and the 2s10s steepener</t>
        </is>
      </c>
      <c r="C2" s="3" t="n"/>
    </row>
    <row r="5">
      <c r="B5" s="2" t="inlineStr">
        <is>
          <t>2s10s slope (bp)</t>
        </is>
      </c>
      <c r="C5" s="14">
        <f>(Inputs!$C$9-Inputs!$C$6)*100</f>
        <v/>
      </c>
    </row>
    <row r="6">
      <c r="B6" s="2" t="inlineStr">
        <is>
          <t>2s5s slope (bp)</t>
        </is>
      </c>
      <c r="C6" s="14">
        <f>(Inputs!$C$7-Inputs!$C$6)*100</f>
        <v/>
      </c>
    </row>
    <row r="7">
      <c r="B7" s="2" t="inlineStr">
        <is>
          <t>5s30s slope (bp)</t>
        </is>
      </c>
      <c r="C7" s="14">
        <f>(Inputs!$C$10-Inputs!$C$7)*100</f>
        <v/>
      </c>
    </row>
    <row r="8">
      <c r="B8" s="2" t="inlineStr">
        <is>
          <t>Interpolated 9-year yield (%)</t>
        </is>
      </c>
      <c r="C8" s="13">
        <f>Inputs!$C$8+(Inputs!$C$9-Inputs!$C$8)*(9-7)/(10-7)</f>
        <v/>
      </c>
    </row>
    <row r="9">
      <c r="B9" s="2" t="inlineStr">
        <is>
          <t>Roll-down of the 10-year over one year (bp)</t>
        </is>
      </c>
      <c r="C9" s="20">
        <f>(Inputs!$C$9-C8)*100</f>
        <v/>
      </c>
    </row>
    <row r="10">
      <c r="B10" s="2" t="inlineStr">
        <is>
          <t>9-year bond at the 10-year yield (price)</t>
        </is>
      </c>
      <c r="C10" s="15">
        <f>((Inputs!$C$14)/2)/((Inputs!$C$9)/200)*(1-(1+(Inputs!$C$9)/200)^(-2*(9)))+100*(1+(Inputs!$C$9)/200)^(-2*(9))</f>
        <v/>
      </c>
    </row>
    <row r="11">
      <c r="B11" s="2" t="inlineStr">
        <is>
          <t>9-year bond at the 9-year yield (price)</t>
        </is>
      </c>
      <c r="C11" s="15">
        <f>((Inputs!$C$14)/2)/((C8)/200)*(1-(1+(C8)/200)^(-2*(9)))+100*(1+(C8)/200)^(-2*(9))</f>
        <v/>
      </c>
    </row>
    <row r="12">
      <c r="B12" s="2" t="inlineStr">
        <is>
          <t>Roll-down value (points)</t>
        </is>
      </c>
      <c r="C12" s="13">
        <f>C11-C10</f>
        <v/>
      </c>
    </row>
    <row r="13">
      <c r="B13" s="2" t="inlineStr">
        <is>
          <t>Roll-down value ($ per $1 million)</t>
        </is>
      </c>
      <c r="C13" s="16">
        <f>C12*10000</f>
        <v/>
      </c>
    </row>
    <row r="14">
      <c r="B14" s="2" t="inlineStr">
        <is>
          <t>Steepener: 10-year sold ($ million)</t>
        </is>
      </c>
      <c r="C14" s="9" t="n">
        <v>10</v>
      </c>
    </row>
    <row r="15">
      <c r="B15" s="2" t="inlineStr">
        <is>
          <t>Steepener: 2-year bought ($ million), DV01-neutral</t>
        </is>
      </c>
      <c r="C15" s="20">
        <f>C14*'Bond Pricing'!H7/'Bond Pricing'!H5</f>
        <v/>
      </c>
    </row>
    <row r="16">
      <c r="B16" s="2" t="inlineStr">
        <is>
          <t>DV01 of each leg ($ per bp)</t>
        </is>
      </c>
      <c r="C16" s="16">
        <f>C14*'Bond Pricing'!H7</f>
        <v/>
      </c>
    </row>
    <row r="17">
      <c r="B17" s="2" t="inlineStr">
        <is>
          <t>P&amp;L if the curve steepens 10 bp ($)</t>
        </is>
      </c>
      <c r="C17" s="16">
        <f>C16*10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C3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0" customWidth="1" min="2" max="2"/>
    <col width="16" customWidth="1" min="3" max="3"/>
  </cols>
  <sheetData>
    <row r="1" ht="10" customHeight="1"/>
    <row r="2">
      <c r="B2" s="1" t="inlineStr">
        <is>
          <t>The client trade: RFQ, hedge, day two, resale, carry</t>
        </is>
      </c>
      <c r="C2" s="3" t="n"/>
    </row>
    <row r="5">
      <c r="B5" s="2" t="inlineStr">
        <is>
          <t>Mid yield of the bond (%)</t>
        </is>
      </c>
      <c r="C5" s="13">
        <f>Inputs!$C$8+Inputs!$C$19/100</f>
        <v/>
      </c>
    </row>
    <row r="6">
      <c r="B6" s="2" t="inlineStr">
        <is>
          <t>Mid price</t>
        </is>
      </c>
      <c r="C6" s="13">
        <f>'Bond Pricing'!F9</f>
        <v/>
      </c>
    </row>
    <row r="7">
      <c r="B7" s="2" t="inlineStr">
        <is>
          <t>Bid yield (%)</t>
        </is>
      </c>
      <c r="C7" s="13">
        <f>Inputs!$C$8+Inputs!$C$20/100</f>
        <v/>
      </c>
    </row>
    <row r="8">
      <c r="B8" s="2" t="inlineStr">
        <is>
          <t>Bid price (the desk buys)</t>
        </is>
      </c>
      <c r="C8" s="13">
        <f>'Bond Pricing'!F10</f>
        <v/>
      </c>
    </row>
    <row r="9">
      <c r="B9" s="2" t="inlineStr">
        <is>
          <t>Edge against mid (points)</t>
        </is>
      </c>
      <c r="C9" s="13">
        <f>C6-C8</f>
        <v/>
      </c>
    </row>
    <row r="10">
      <c r="B10" s="2" t="inlineStr">
        <is>
          <t>Edge ($), day-one P&amp;L</t>
        </is>
      </c>
      <c r="C10" s="16">
        <f>C9/100*Inputs!$C$22*1000000</f>
        <v/>
      </c>
    </row>
    <row r="11">
      <c r="B11" s="2" t="inlineStr">
        <is>
          <t>DV01 of the bond ($ per $1m)</t>
        </is>
      </c>
      <c r="C11" s="16">
        <f>'Bond Pricing'!H10</f>
        <v/>
      </c>
    </row>
    <row r="12">
      <c r="B12" s="2" t="inlineStr">
        <is>
          <t>DV01 and CS01 of the trade ($ per bp)</t>
        </is>
      </c>
      <c r="C12" s="16">
        <f>C11*Inputs!$C$22</f>
        <v/>
      </c>
    </row>
    <row r="13">
      <c r="B13" s="2" t="inlineStr">
        <is>
          <t>DV01 of the 7-year Treasury ($ per $1m)</t>
        </is>
      </c>
      <c r="C13" s="16">
        <f>'Bond Pricing'!H6</f>
        <v/>
      </c>
    </row>
    <row r="14">
      <c r="B14" s="2" t="inlineStr">
        <is>
          <t>Hedge: 7-year Treasury sold ($ million face)</t>
        </is>
      </c>
      <c r="C14" s="20">
        <f>C12/C13</f>
        <v/>
      </c>
    </row>
    <row r="15">
      <c r="B15" s="2" t="inlineStr">
        <is>
          <t>Hedge ratio</t>
        </is>
      </c>
      <c r="C15" s="13">
        <f>C14/Inputs!$C$22</f>
        <v/>
      </c>
    </row>
    <row r="16">
      <c r="B16" s="2" t="inlineStr">
        <is>
          <t>Day two: new mid yield (%)</t>
        </is>
      </c>
      <c r="C16" s="13">
        <f>Inputs!$C$8+Inputs!$C$23/100+(Inputs!$C$19+Inputs!$C$24)/100</f>
        <v/>
      </c>
    </row>
    <row r="17">
      <c r="B17" s="2" t="inlineStr">
        <is>
          <t>Day two: new mid price</t>
        </is>
      </c>
      <c r="C17" s="13">
        <f>((Inputs!$C$17)/2)/((C16)/200)*(1-(1+(C16)/200)^(-2*(Inputs!$C$18)))+100*(1+(C16)/200)^(-2*(Inputs!$C$18))</f>
        <v/>
      </c>
    </row>
    <row r="18">
      <c r="B18" s="2" t="inlineStr">
        <is>
          <t>Day two: P&amp;L on the long bond ($)</t>
        </is>
      </c>
      <c r="C18" s="16">
        <f>(C17-C6)/100*Inputs!$C$22*1000000</f>
        <v/>
      </c>
    </row>
    <row r="19">
      <c r="B19" s="2" t="inlineStr">
        <is>
          <t>Day two: 7-year Treasury price before</t>
        </is>
      </c>
      <c r="C19" s="15">
        <f>((Inputs!$C$13)/2)/((Inputs!$C$8)/200)*(1-(1+(Inputs!$C$8)/200)^(-2*(7)))+100*(1+(Inputs!$C$8)/200)^(-2*(7))</f>
        <v/>
      </c>
    </row>
    <row r="20">
      <c r="B20" s="2" t="inlineStr">
        <is>
          <t>Day two: 7-year Treasury price after</t>
        </is>
      </c>
      <c r="C20" s="15">
        <f>((Inputs!$C$13)/2)/((Inputs!$C$8+Inputs!$C$23/100)/200)*(1-(1+(Inputs!$C$8+Inputs!$C$23/100)/200)^(-2*(7)))+100*(1+(Inputs!$C$8+Inputs!$C$23/100)/200)^(-2*(7))</f>
        <v/>
      </c>
    </row>
    <row r="21">
      <c r="B21" s="2" t="inlineStr">
        <is>
          <t>Day two: P&amp;L on the short hedge ($)</t>
        </is>
      </c>
      <c r="C21" s="16">
        <f>-(C20-C19)/100*C14*1000000</f>
        <v/>
      </c>
    </row>
    <row r="22">
      <c r="B22" s="2" t="inlineStr">
        <is>
          <t>Day two: net P&amp;L ($)</t>
        </is>
      </c>
      <c r="C22" s="16">
        <f>C18+C21</f>
        <v/>
      </c>
    </row>
    <row r="23">
      <c r="B23" s="2" t="inlineStr">
        <is>
          <t>Day two: spread move times CS01 ($)</t>
        </is>
      </c>
      <c r="C23" s="16">
        <f>-C12*Inputs!$C$24</f>
        <v/>
      </c>
    </row>
    <row r="24">
      <c r="B24" s="2" t="inlineStr">
        <is>
          <t>Resale yield (%)</t>
        </is>
      </c>
      <c r="C24" s="13">
        <f>Inputs!$C$8+Inputs!$C$23/100+Inputs!$C$26/100</f>
        <v/>
      </c>
    </row>
    <row r="25">
      <c r="B25" s="2" t="inlineStr">
        <is>
          <t>Resale price</t>
        </is>
      </c>
      <c r="C25" s="13">
        <f>((Inputs!$C$17)/2)/((C24)/200)*(1-(1+(C24)/200)^(-2*(Inputs!$C$18)))+100*(1+(C24)/200)^(-2*(Inputs!$C$18))</f>
        <v/>
      </c>
    </row>
    <row r="26">
      <c r="B26" s="2" t="inlineStr">
        <is>
          <t>Resale above the new mid ($)</t>
        </is>
      </c>
      <c r="C26" s="16">
        <f>(C25-C17)/100*Inputs!$C$25*1000000</f>
        <v/>
      </c>
    </row>
    <row r="27">
      <c r="B27" s="2" t="inlineStr">
        <is>
          <t>Ticket P&amp;L after two days ($)</t>
        </is>
      </c>
      <c r="C27" s="21">
        <f>C10+C22+C26</f>
        <v/>
      </c>
    </row>
    <row r="28">
      <c r="B28" s="2" t="inlineStr">
        <is>
          <t>Carry of the long bond a day ($)</t>
        </is>
      </c>
      <c r="C28" s="16">
        <f>Inputs!$C$22*1000000*(C7-Inputs!$C$28)/100/360</f>
        <v/>
      </c>
    </row>
    <row r="29">
      <c r="B29" s="2" t="inlineStr">
        <is>
          <t>Carry of the short hedge a day ($)</t>
        </is>
      </c>
      <c r="C29" s="16">
        <f>-C14*1000000*(Inputs!$C$8-Inputs!$C$29)/100/360</f>
        <v/>
      </c>
    </row>
    <row r="30">
      <c r="B30" s="2" t="inlineStr">
        <is>
          <t>Net carry a day ($)</t>
        </is>
      </c>
      <c r="C30" s="16">
        <f>C28+C29</f>
        <v/>
      </c>
    </row>
    <row r="31">
      <c r="B31" s="2" t="inlineStr">
        <is>
          <t>Net carry over 30 days ($)</t>
        </is>
      </c>
      <c r="C31" s="16">
        <f>C30*30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C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0" customWidth="1" min="2" max="2"/>
    <col width="16" customWidth="1" min="3" max="3"/>
  </cols>
  <sheetData>
    <row r="1" ht="10" customHeight="1"/>
    <row r="2">
      <c r="B2" s="1" t="inlineStr">
        <is>
          <t>Risk: limits, value at risk, stress</t>
        </is>
      </c>
      <c r="C2" s="3" t="n"/>
    </row>
    <row r="5">
      <c r="B5" s="2" t="inlineStr">
        <is>
          <t>Net DV01 limit ($ per bp)</t>
        </is>
      </c>
      <c r="C5" s="16">
        <f>Inputs!$C$31</f>
        <v/>
      </c>
    </row>
    <row r="6">
      <c r="B6" s="2" t="inlineStr">
        <is>
          <t>CS01 limit ($ per bp)</t>
        </is>
      </c>
      <c r="C6" s="16">
        <f>Inputs!$C$32</f>
        <v/>
      </c>
    </row>
    <row r="7">
      <c r="B7" s="2" t="inlineStr">
        <is>
          <t>Book DV01 after the hedged trade ($ per bp)</t>
        </is>
      </c>
      <c r="C7" s="16">
        <f>Inputs!$C$33</f>
        <v/>
      </c>
    </row>
    <row r="8">
      <c r="B8" s="2" t="inlineStr">
        <is>
          <t>Book DV01 had the trade not been hedged ($ per bp)</t>
        </is>
      </c>
      <c r="C8" s="16">
        <f>Inputs!$C$33+'Client Trade'!C12</f>
        <v/>
      </c>
    </row>
    <row r="9">
      <c r="B9" s="2" t="inlineStr">
        <is>
          <t>Book CS01 after the trade ($ per bp)</t>
        </is>
      </c>
      <c r="C9" s="16">
        <f>Inputs!$C$34+'Client Trade'!C12</f>
        <v/>
      </c>
    </row>
    <row r="10">
      <c r="B10" s="2" t="inlineStr">
        <is>
          <t>DV01 headroom ($ per bp)</t>
        </is>
      </c>
      <c r="C10" s="16">
        <f>C5-C7</f>
        <v/>
      </c>
    </row>
    <row r="11">
      <c r="B11" s="2" t="inlineStr">
        <is>
          <t>CS01 headroom ($ per bp)</t>
        </is>
      </c>
      <c r="C11" s="16">
        <f>C6-C9</f>
        <v/>
      </c>
    </row>
    <row r="12">
      <c r="B12" s="2" t="inlineStr">
        <is>
          <t>One-day 99 percent VaR on the rates position ($)</t>
        </is>
      </c>
      <c r="C12" s="16">
        <f>Inputs!$C$36*Inputs!$C$35*Inputs!$C$33</f>
        <v/>
      </c>
    </row>
    <row r="13">
      <c r="B13" s="2" t="inlineStr">
        <is>
          <t>Rates stress ($ loss)</t>
        </is>
      </c>
      <c r="C13" s="16">
        <f>Inputs!$C$33*Inputs!$C$37</f>
        <v/>
      </c>
    </row>
    <row r="14">
      <c r="B14" s="2" t="inlineStr">
        <is>
          <t>Spread stress ($ loss)</t>
        </is>
      </c>
      <c r="C14" s="16">
        <f>Inputs!$C$34*Inputs!$C$38</f>
        <v/>
      </c>
    </row>
    <row r="15">
      <c r="B15" s="2" t="inlineStr">
        <is>
          <t>DV01 limit utilization after the trade</t>
        </is>
      </c>
      <c r="C15" s="22">
        <f>C7/C5</f>
        <v/>
      </c>
    </row>
    <row r="16">
      <c r="B16" s="2" t="inlineStr">
        <is>
          <t>CS01 limit utilization after the trade</t>
        </is>
      </c>
      <c r="C16" s="22">
        <f>C9/C6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C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0" customWidth="1" min="2" max="2"/>
    <col width="16" customWidth="1" min="3" max="3"/>
  </cols>
  <sheetData>
    <row r="1" ht="10" customHeight="1"/>
    <row r="2">
      <c r="B2" s="1" t="inlineStr">
        <is>
          <t>Desk economics 2025 and the portfolio trade</t>
        </is>
      </c>
      <c r="C2" s="3" t="n"/>
    </row>
    <row r="5">
      <c r="B5" s="2" t="inlineStr">
        <is>
          <t>Client trades a day</t>
        </is>
      </c>
      <c r="C5" s="16">
        <f>Inputs!$C$40*Inputs!$C$41</f>
        <v/>
      </c>
    </row>
    <row r="6">
      <c r="B6" s="2" t="inlineStr">
        <is>
          <t>Client volume ($ billion)</t>
        </is>
      </c>
      <c r="C6" s="20">
        <f>C5*Inputs!$C$42*Inputs!$C$43/1000</f>
        <v/>
      </c>
    </row>
    <row r="7">
      <c r="B7" s="2" t="inlineStr">
        <is>
          <t>Flow revenue ($ million)</t>
        </is>
      </c>
      <c r="C7" s="13">
        <f>C6*1000*Inputs!$C$44/100</f>
        <v/>
      </c>
    </row>
    <row r="8">
      <c r="B8" s="2" t="inlineStr">
        <is>
          <t>Risk management P&amp;L ($ million)</t>
        </is>
      </c>
      <c r="C8" s="13">
        <f>Inputs!$C$45</f>
        <v/>
      </c>
    </row>
    <row r="9">
      <c r="B9" s="2" t="inlineStr">
        <is>
          <t>Portfolio trading ($ million)</t>
        </is>
      </c>
      <c r="C9" s="13">
        <f>Inputs!$C$46</f>
        <v/>
      </c>
    </row>
    <row r="10">
      <c r="B10" s="2" t="inlineStr">
        <is>
          <t>Net carry ($ million)</t>
        </is>
      </c>
      <c r="C10" s="13">
        <f>Inputs!$C$47</f>
        <v/>
      </c>
    </row>
    <row r="11">
      <c r="B11" s="2" t="inlineStr">
        <is>
          <t>Total revenue ($ million)</t>
        </is>
      </c>
      <c r="C11" s="23">
        <f>SUM(C7:C10)</f>
        <v/>
      </c>
    </row>
    <row r="12">
      <c r="B12" s="2" t="inlineStr">
        <is>
          <t>Direct costs ($ million)</t>
        </is>
      </c>
      <c r="C12" s="13">
        <f>Inputs!$C$48</f>
        <v/>
      </c>
    </row>
    <row r="13">
      <c r="B13" s="2" t="inlineStr">
        <is>
          <t>Contribution ($ million)</t>
        </is>
      </c>
      <c r="C13" s="23">
        <f>C11-C12</f>
        <v/>
      </c>
    </row>
    <row r="14">
      <c r="B14" s="2" t="inlineStr">
        <is>
          <t>Return on allocated capital, before tax</t>
        </is>
      </c>
      <c r="C14" s="22">
        <f>C13/Inputs!$C$49</f>
        <v/>
      </c>
    </row>
    <row r="15">
      <c r="B15" s="2" t="inlineStr">
        <is>
          <t>Revenue per head ($ million)</t>
        </is>
      </c>
      <c r="C15" s="20">
        <f>C11/Inputs!$C$50</f>
        <v/>
      </c>
    </row>
    <row r="16">
      <c r="B16" s="2" t="inlineStr">
        <is>
          <t>Portfolio trade: gross margin ($ million)</t>
        </is>
      </c>
      <c r="C16" s="12">
        <f>Inputs!$C$52*Inputs!$C$54/100</f>
        <v/>
      </c>
    </row>
    <row r="17">
      <c r="B17" s="2" t="inlineStr">
        <is>
          <t>Portfolio trade: expected unwind cost ($ million)</t>
        </is>
      </c>
      <c r="C17" s="12">
        <f>Inputs!$C$52*Inputs!$C$55/100</f>
        <v/>
      </c>
    </row>
    <row r="18">
      <c r="B18" s="2" t="inlineStr">
        <is>
          <t>Portfolio trade: expected net ($ million)</t>
        </is>
      </c>
      <c r="C18" s="12">
        <f>C16-C17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F4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5" customWidth="1" min="3" max="3"/>
    <col width="15" customWidth="1" min="4" max="4"/>
    <col width="12" customWidth="1" min="5" max="5"/>
    <col width="10" customWidth="1" min="6" max="6"/>
  </cols>
  <sheetData>
    <row r="1" ht="10" customHeight="1"/>
    <row r="2">
      <c r="B2" s="1" t="inlineStr">
        <is>
          <t>Checks: the book's figures against the workbook</t>
        </is>
      </c>
      <c r="C2" s="3" t="n"/>
      <c r="D2" s="3" t="n"/>
      <c r="E2" s="3" t="n"/>
      <c r="F2" s="3" t="n"/>
    </row>
    <row r="4">
      <c r="B4" s="4" t="inlineStr">
        <is>
          <t>Figure printed in the book</t>
        </is>
      </c>
      <c r="C4" s="4" t="inlineStr">
        <is>
          <t>Book</t>
        </is>
      </c>
      <c r="D4" s="4" t="inlineStr">
        <is>
          <t>Workbook</t>
        </is>
      </c>
      <c r="E4" s="4" t="inlineStr">
        <is>
          <t>Tolerance</t>
        </is>
      </c>
      <c r="F4" s="4" t="inlineStr">
        <is>
          <t>Status</t>
        </is>
      </c>
    </row>
    <row r="5">
      <c r="B5" s="2" t="inlineStr">
        <is>
          <t>10-year note price</t>
        </is>
      </c>
      <c r="C5" s="2" t="n">
        <v>100</v>
      </c>
      <c r="D5" s="2">
        <f>'Bond Pricing'!F7</f>
        <v/>
      </c>
      <c r="E5" s="2" t="n">
        <v>0.005</v>
      </c>
      <c r="F5" s="2">
        <f>IF(ABS(D5-C5)&lt;=E5,"OK","CHECK")</f>
        <v/>
      </c>
    </row>
    <row r="6">
      <c r="B6" s="2" t="inlineStr">
        <is>
          <t>10-year DV01, $ per $1 million</t>
        </is>
      </c>
      <c r="C6" s="2" t="n">
        <v>808</v>
      </c>
      <c r="D6" s="2">
        <f>'Bond Pricing'!H7</f>
        <v/>
      </c>
      <c r="E6" s="2" t="n">
        <v>0.5</v>
      </c>
      <c r="F6" s="2">
        <f>IF(ABS(D6-C6)&lt;=E6,"OK","CHECK")</f>
        <v/>
      </c>
    </row>
    <row r="7">
      <c r="B7" s="2" t="inlineStr">
        <is>
          <t>10-year modified duration</t>
        </is>
      </c>
      <c r="C7" s="2" t="n">
        <v>8.08</v>
      </c>
      <c r="D7" s="2">
        <f>'Bond Pricing'!I7</f>
        <v/>
      </c>
      <c r="E7" s="2" t="n">
        <v>0.005</v>
      </c>
      <c r="F7" s="2">
        <f>IF(ABS(D7-C7)&lt;=E7,"OK","CHECK")</f>
        <v/>
      </c>
    </row>
    <row r="8">
      <c r="B8" s="2" t="inlineStr">
        <is>
          <t>10-year price, yield up 100 bp</t>
        </is>
      </c>
      <c r="C8" s="2" t="n">
        <v>92.3</v>
      </c>
      <c r="D8" s="2">
        <f>'Bond Pricing'!D18</f>
        <v/>
      </c>
      <c r="E8" s="2" t="n">
        <v>0.005</v>
      </c>
      <c r="F8" s="2">
        <f>IF(ABS(D8-C8)&lt;=E8,"OK","CHECK")</f>
        <v/>
      </c>
    </row>
    <row r="9">
      <c r="B9" s="2" t="inlineStr">
        <is>
          <t>10-year price, yield down 100 bp</t>
        </is>
      </c>
      <c r="C9" s="2" t="n">
        <v>108.48</v>
      </c>
      <c r="D9" s="2">
        <f>'Bond Pricing'!D15</f>
        <v/>
      </c>
      <c r="E9" s="2" t="n">
        <v>0.005</v>
      </c>
      <c r="F9" s="2">
        <f>IF(ABS(D9-C9)&lt;=E9,"OK","CHECK")</f>
        <v/>
      </c>
    </row>
    <row r="10">
      <c r="B10" s="2" t="inlineStr">
        <is>
          <t>10-year price from the cash flows</t>
        </is>
      </c>
      <c r="C10" s="2" t="n">
        <v>100</v>
      </c>
      <c r="D10" s="2">
        <f>'Bond Pricing'!E42</f>
        <v/>
      </c>
      <c r="E10" s="2" t="n">
        <v>0.005</v>
      </c>
      <c r="F10" s="2">
        <f>IF(ABS(D10-C10)&lt;=E10,"OK","CHECK")</f>
        <v/>
      </c>
    </row>
    <row r="11">
      <c r="B11" s="2" t="inlineStr">
        <is>
          <t>2-year DV01, $ per $1 million</t>
        </is>
      </c>
      <c r="C11" s="2" t="n">
        <v>191</v>
      </c>
      <c r="D11" s="2">
        <f>'Bond Pricing'!H5</f>
        <v/>
      </c>
      <c r="E11" s="2" t="n">
        <v>0.5</v>
      </c>
      <c r="F11" s="2">
        <f>IF(ABS(D11-C11)&lt;=E11,"OK","CHECK")</f>
        <v/>
      </c>
    </row>
    <row r="12">
      <c r="B12" s="2" t="inlineStr">
        <is>
          <t>7-year DV01, $ per $1 million</t>
        </is>
      </c>
      <c r="C12" s="2" t="n">
        <v>601</v>
      </c>
      <c r="D12" s="2">
        <f>'Bond Pricing'!H6</f>
        <v/>
      </c>
      <c r="E12" s="2" t="n">
        <v>0.5</v>
      </c>
      <c r="F12" s="2">
        <f>IF(ABS(D12-C12)&lt;=E12,"OK","CHECK")</f>
        <v/>
      </c>
    </row>
    <row r="13">
      <c r="B13" s="2" t="inlineStr">
        <is>
          <t>30-year DV01, $ per $1 million</t>
        </is>
      </c>
      <c r="C13" s="2" t="n">
        <v>1586</v>
      </c>
      <c r="D13" s="2">
        <f>'Bond Pricing'!H8</f>
        <v/>
      </c>
      <c r="E13" s="2" t="n">
        <v>0.5</v>
      </c>
      <c r="F13" s="2">
        <f>IF(ABS(D13-C13)&lt;=E13,"OK","CHECK")</f>
        <v/>
      </c>
    </row>
    <row r="14">
      <c r="B14" s="2" t="inlineStr">
        <is>
          <t>2s10s slope, bp</t>
        </is>
      </c>
      <c r="C14" s="2" t="n">
        <v>35</v>
      </c>
      <c r="D14" s="2">
        <f>'Curve and Roll'!C5</f>
        <v/>
      </c>
      <c r="E14" s="2" t="n">
        <v>0.01</v>
      </c>
      <c r="F14" s="2">
        <f>IF(ABS(D14-C14)&lt;=E14,"OK","CHECK")</f>
        <v/>
      </c>
    </row>
    <row r="15">
      <c r="B15" s="2" t="inlineStr">
        <is>
          <t>Roll-down value, points</t>
        </is>
      </c>
      <c r="C15" s="2" t="n">
        <v>0.37</v>
      </c>
      <c r="D15" s="2">
        <f>'Curve and Roll'!C12</f>
        <v/>
      </c>
      <c r="E15" s="2" t="n">
        <v>0.005</v>
      </c>
      <c r="F15" s="2">
        <f>IF(ABS(D15-C15)&lt;=E15,"OK","CHECK")</f>
        <v/>
      </c>
    </row>
    <row r="16">
      <c r="B16" s="2" t="inlineStr">
        <is>
          <t>Steepener: 2-year bought, $ million</t>
        </is>
      </c>
      <c r="C16" s="2" t="n">
        <v>42.4</v>
      </c>
      <c r="D16" s="2">
        <f>'Curve and Roll'!C15</f>
        <v/>
      </c>
      <c r="E16" s="2" t="n">
        <v>0.05</v>
      </c>
      <c r="F16" s="2">
        <f>IF(ABS(D16-C16)&lt;=E16,"OK","CHECK")</f>
        <v/>
      </c>
    </row>
    <row r="17">
      <c r="B17" s="2" t="inlineStr">
        <is>
          <t>Steepener: P&amp;L on 10 bp, $</t>
        </is>
      </c>
      <c r="C17" s="2" t="n">
        <v>80779</v>
      </c>
      <c r="D17" s="2">
        <f>'Curve and Roll'!C17</f>
        <v/>
      </c>
      <c r="E17" s="2" t="n">
        <v>0.5</v>
      </c>
      <c r="F17" s="2">
        <f>IF(ABS(D17-C17)&lt;=E17,"OK","CHECK")</f>
        <v/>
      </c>
    </row>
    <row r="18">
      <c r="B18" s="2" t="inlineStr">
        <is>
          <t>Corporate bond mid price</t>
        </is>
      </c>
      <c r="C18" s="2" t="n">
        <v>99.13</v>
      </c>
      <c r="D18" s="2">
        <f>'Client Trade'!C6</f>
        <v/>
      </c>
      <c r="E18" s="2" t="n">
        <v>0.005</v>
      </c>
      <c r="F18" s="2">
        <f>IF(ABS(D18-C18)&lt;=E18,"OK","CHECK")</f>
        <v/>
      </c>
    </row>
    <row r="19">
      <c r="B19" s="2" t="inlineStr">
        <is>
          <t>Corporate bond bid price</t>
        </is>
      </c>
      <c r="C19" s="2" t="n">
        <v>98.84</v>
      </c>
      <c r="D19" s="2">
        <f>'Client Trade'!C8</f>
        <v/>
      </c>
      <c r="E19" s="2" t="n">
        <v>0.005</v>
      </c>
      <c r="F19" s="2">
        <f>IF(ABS(D19-C19)&lt;=E19,"OK","CHECK")</f>
        <v/>
      </c>
    </row>
    <row r="20">
      <c r="B20" s="2" t="inlineStr">
        <is>
          <t>Edge, $</t>
        </is>
      </c>
      <c r="C20" s="2" t="n">
        <v>57751</v>
      </c>
      <c r="D20" s="2">
        <f>'Client Trade'!C10</f>
        <v/>
      </c>
      <c r="E20" s="2" t="n">
        <v>0.5</v>
      </c>
      <c r="F20" s="2">
        <f>IF(ABS(D20-C20)&lt;=E20,"OK","CHECK")</f>
        <v/>
      </c>
    </row>
    <row r="21">
      <c r="B21" s="2" t="inlineStr">
        <is>
          <t>Trade DV01 and CS01, $ per bp</t>
        </is>
      </c>
      <c r="C21" s="2" t="n">
        <v>11530</v>
      </c>
      <c r="D21" s="2">
        <f>'Client Trade'!C12</f>
        <v/>
      </c>
      <c r="E21" s="2" t="n">
        <v>0.5</v>
      </c>
      <c r="F21" s="2">
        <f>IF(ABS(D21-C21)&lt;=E21,"OK","CHECK")</f>
        <v/>
      </c>
    </row>
    <row r="22">
      <c r="B22" s="2" t="inlineStr">
        <is>
          <t>Hedge, $ million face</t>
        </is>
      </c>
      <c r="C22" s="2" t="n">
        <v>19.2</v>
      </c>
      <c r="D22" s="2">
        <f>'Client Trade'!C14</f>
        <v/>
      </c>
      <c r="E22" s="2" t="n">
        <v>0.05</v>
      </c>
      <c r="F22" s="2">
        <f>IF(ABS(D22-C22)&lt;=E22,"OK","CHECK")</f>
        <v/>
      </c>
    </row>
    <row r="23">
      <c r="B23" s="2" t="inlineStr">
        <is>
          <t>Hedge ratio</t>
        </is>
      </c>
      <c r="C23" s="2" t="n">
        <v>0.96</v>
      </c>
      <c r="D23" s="2">
        <f>'Client Trade'!C15</f>
        <v/>
      </c>
      <c r="E23" s="2" t="n">
        <v>0.005</v>
      </c>
      <c r="F23" s="2">
        <f>IF(ABS(D23-C23)&lt;=E23,"OK","CHECK")</f>
        <v/>
      </c>
    </row>
    <row r="24">
      <c r="B24" s="2" t="inlineStr">
        <is>
          <t>Day two net P&amp;L, $</t>
        </is>
      </c>
      <c r="C24" s="2" t="n">
        <v>-34551</v>
      </c>
      <c r="D24" s="2">
        <f>'Client Trade'!C22</f>
        <v/>
      </c>
      <c r="E24" s="2" t="n">
        <v>0.5</v>
      </c>
      <c r="F24" s="2">
        <f>IF(ABS(D24-C24)&lt;=E24,"OK","CHECK")</f>
        <v/>
      </c>
    </row>
    <row r="25">
      <c r="B25" s="2" t="inlineStr">
        <is>
          <t>Resale above mid, $</t>
        </is>
      </c>
      <c r="C25" s="2" t="n">
        <v>5807</v>
      </c>
      <c r="D25" s="2">
        <f>'Client Trade'!C26</f>
        <v/>
      </c>
      <c r="E25" s="2" t="n">
        <v>0.5</v>
      </c>
      <c r="F25" s="2">
        <f>IF(ABS(D25-C25)&lt;=E25,"OK","CHECK")</f>
        <v/>
      </c>
    </row>
    <row r="26">
      <c r="B26" s="2" t="inlineStr">
        <is>
          <t>Ticket P&amp;L, $</t>
        </is>
      </c>
      <c r="C26" s="2" t="n">
        <v>29007</v>
      </c>
      <c r="D26" s="2">
        <f>'Client Trade'!C27</f>
        <v/>
      </c>
      <c r="E26" s="2" t="n">
        <v>0.5</v>
      </c>
      <c r="F26" s="2">
        <f>IF(ABS(D26-C26)&lt;=E26,"OK","CHECK")</f>
        <v/>
      </c>
    </row>
    <row r="27">
      <c r="B27" s="2" t="inlineStr">
        <is>
          <t>Net carry a day, $</t>
        </is>
      </c>
      <c r="C27" s="2" t="n">
        <v>523</v>
      </c>
      <c r="D27" s="2">
        <f>'Client Trade'!C30</f>
        <v/>
      </c>
      <c r="E27" s="2" t="n">
        <v>0.5</v>
      </c>
      <c r="F27" s="2">
        <f>IF(ABS(D27-C27)&lt;=E27,"OK","CHECK")</f>
        <v/>
      </c>
    </row>
    <row r="28">
      <c r="B28" s="2" t="inlineStr">
        <is>
          <t>Net carry over 30 days, $</t>
        </is>
      </c>
      <c r="C28" s="2" t="n">
        <v>15697</v>
      </c>
      <c r="D28" s="2">
        <f>'Client Trade'!C31</f>
        <v/>
      </c>
      <c r="E28" s="2" t="n">
        <v>0.5</v>
      </c>
      <c r="F28" s="2">
        <f>IF(ABS(D28-C28)&lt;=E28,"OK","CHECK")</f>
        <v/>
      </c>
    </row>
    <row r="29">
      <c r="B29" s="2" t="inlineStr">
        <is>
          <t>CS01 after the trade, $ per bp</t>
        </is>
      </c>
      <c r="C29" s="2" t="n">
        <v>106530</v>
      </c>
      <c r="D29" s="2">
        <f>Risk!C9</f>
        <v/>
      </c>
      <c r="E29" s="2" t="n">
        <v>0.5</v>
      </c>
      <c r="F29" s="2">
        <f>IF(ABS(D29-C29)&lt;=E29,"OK","CHECK")</f>
        <v/>
      </c>
    </row>
    <row r="30">
      <c r="B30" s="2" t="inlineStr">
        <is>
          <t>VaR, $</t>
        </is>
      </c>
      <c r="C30" s="2" t="n">
        <v>2516400</v>
      </c>
      <c r="D30" s="2">
        <f>Risk!C12</f>
        <v/>
      </c>
      <c r="E30" s="2" t="n">
        <v>0.5</v>
      </c>
      <c r="F30" s="2">
        <f>IF(ABS(D30-C30)&lt;=E30,"OK","CHECK")</f>
        <v/>
      </c>
    </row>
    <row r="31">
      <c r="B31" s="2" t="inlineStr">
        <is>
          <t>Rates stress, $</t>
        </is>
      </c>
      <c r="C31" s="2" t="n">
        <v>18000000</v>
      </c>
      <c r="D31" s="2">
        <f>Risk!C13</f>
        <v/>
      </c>
      <c r="E31" s="2" t="n">
        <v>0.5</v>
      </c>
      <c r="F31" s="2">
        <f>IF(ABS(D31-C31)&lt;=E31,"OK","CHECK")</f>
        <v/>
      </c>
    </row>
    <row r="32">
      <c r="B32" s="2" t="inlineStr">
        <is>
          <t>Spread stress, $</t>
        </is>
      </c>
      <c r="C32" s="2" t="n">
        <v>4750000</v>
      </c>
      <c r="D32" s="2">
        <f>Risk!C14</f>
        <v/>
      </c>
      <c r="E32" s="2" t="n">
        <v>0.5</v>
      </c>
      <c r="F32" s="2">
        <f>IF(ABS(D32-C32)&lt;=E32,"OK","CHECK")</f>
        <v/>
      </c>
    </row>
    <row r="33">
      <c r="B33" s="2" t="inlineStr">
        <is>
          <t>Client volume, $ billion</t>
        </is>
      </c>
      <c r="C33" s="2" t="n">
        <v>52.5</v>
      </c>
      <c r="D33" s="2">
        <f>'Desk P&amp;L'!C6</f>
        <v/>
      </c>
      <c r="E33" s="2" t="n">
        <v>0.05</v>
      </c>
      <c r="F33" s="2">
        <f>IF(ABS(D33-C33)&lt;=E33,"OK","CHECK")</f>
        <v/>
      </c>
    </row>
    <row r="34">
      <c r="B34" s="2" t="inlineStr">
        <is>
          <t>Flow revenue, $ million</t>
        </is>
      </c>
      <c r="C34" s="2" t="n">
        <v>47.25</v>
      </c>
      <c r="D34" s="2">
        <f>'Desk P&amp;L'!C7</f>
        <v/>
      </c>
      <c r="E34" s="2" t="n">
        <v>0.005</v>
      </c>
      <c r="F34" s="2">
        <f>IF(ABS(D34-C34)&lt;=E34,"OK","CHECK")</f>
        <v/>
      </c>
    </row>
    <row r="35">
      <c r="B35" s="2" t="inlineStr">
        <is>
          <t>Total revenue, $ million</t>
        </is>
      </c>
      <c r="C35" s="2" t="n">
        <v>66.25</v>
      </c>
      <c r="D35" s="2">
        <f>'Desk P&amp;L'!C11</f>
        <v/>
      </c>
      <c r="E35" s="2" t="n">
        <v>0.005</v>
      </c>
      <c r="F35" s="2">
        <f>IF(ABS(D35-C35)&lt;=E35,"OK","CHECK")</f>
        <v/>
      </c>
    </row>
    <row r="36">
      <c r="B36" s="2" t="inlineStr">
        <is>
          <t>Contribution, $ million</t>
        </is>
      </c>
      <c r="C36" s="2" t="n">
        <v>39.25</v>
      </c>
      <c r="D36" s="2">
        <f>'Desk P&amp;L'!C13</f>
        <v/>
      </c>
      <c r="E36" s="2" t="n">
        <v>0.005</v>
      </c>
      <c r="F36" s="2">
        <f>IF(ABS(D36-C36)&lt;=E36,"OK","CHECK")</f>
        <v/>
      </c>
    </row>
    <row r="37">
      <c r="B37" s="2" t="inlineStr">
        <is>
          <t>Return on capital</t>
        </is>
      </c>
      <c r="C37" s="2" t="n">
        <v>0.26</v>
      </c>
      <c r="D37" s="2">
        <f>'Desk P&amp;L'!C14</f>
        <v/>
      </c>
      <c r="E37" s="2" t="n">
        <v>0.005</v>
      </c>
      <c r="F37" s="2">
        <f>IF(ABS(D37-C37)&lt;=E37,"OK","CHECK")</f>
        <v/>
      </c>
    </row>
    <row r="38">
      <c r="B38" s="2" t="inlineStr">
        <is>
          <t>Portfolio trade net, $ million</t>
        </is>
      </c>
      <c r="C38" s="2" t="n">
        <v>0.325</v>
      </c>
      <c r="D38" s="2">
        <f>'Desk P&amp;L'!C18</f>
        <v/>
      </c>
      <c r="E38" s="2" t="n">
        <v>0.0005</v>
      </c>
      <c r="F38" s="2">
        <f>IF(ABS(D38-C38)&lt;=E38,"OK","CHECK")</f>
        <v/>
      </c>
    </row>
    <row r="39">
      <c r="B39" s="2" t="inlineStr">
        <is>
          <t>Hedge ratio equals bond DV01 / Treasury DV01 (difference)</t>
        </is>
      </c>
      <c r="C39" s="2" t="n">
        <v>0</v>
      </c>
      <c r="D39" s="2">
        <f>'Client Trade'!C15-'Client Trade'!C11/'Client Trade'!C13</f>
        <v/>
      </c>
      <c r="E39" s="2" t="n">
        <v>1e-06</v>
      </c>
      <c r="F39" s="2">
        <f>IF(ABS(D39-C39)&lt;=E39,"OK","CHECK")</f>
        <v/>
      </c>
    </row>
    <row r="40">
      <c r="B40" s="2" t="inlineStr">
        <is>
          <t>Steepener legs carry equal DV01 (difference, $)</t>
        </is>
      </c>
      <c r="C40" s="2" t="n">
        <v>0</v>
      </c>
      <c r="D40" s="2">
        <f>'Curve and Roll'!C15*'Bond Pricing'!H5-'Curve and Roll'!C16</f>
        <v/>
      </c>
      <c r="E40" s="2" t="n">
        <v>0.001</v>
      </c>
      <c r="F40" s="2">
        <f>IF(ABS(D40-C40)&lt;=E40,"OK","CHECK")</f>
        <v/>
      </c>
    </row>
    <row r="41">
      <c r="B41" s="2" t="inlineStr">
        <is>
          <t>DV01 headroom, $ per bp</t>
        </is>
      </c>
      <c r="C41" s="2" t="n">
        <v>70000</v>
      </c>
      <c r="D41" s="2">
        <f>Risk!C10</f>
        <v/>
      </c>
      <c r="E41" s="2" t="n">
        <v>0.5</v>
      </c>
      <c r="F41" s="2">
        <f>IF(ABS(D41-C41)&lt;=E41,"OK","CHECK")</f>
        <v/>
      </c>
    </row>
    <row r="42">
      <c r="B42" s="2" t="inlineStr">
        <is>
          <t>CS01 headroom after the trade, $ per bp</t>
        </is>
      </c>
      <c r="C42" s="2" t="n">
        <v>43470</v>
      </c>
      <c r="D42" s="2">
        <f>Risk!C11</f>
        <v/>
      </c>
      <c r="E42" s="2" t="n">
        <v>0.5</v>
      </c>
      <c r="F42" s="2">
        <f>IF(ABS(D42-C42)&lt;=E42,"OK","CHECK")</f>
        <v/>
      </c>
    </row>
    <row r="44">
      <c r="B44" s="18" t="inlineStr">
        <is>
          <t>Overall</t>
        </is>
      </c>
      <c r="F44" s="18">
        <f>IF(COUNTIF(F5:F42,"OK")=38,"ALL CHECKS OK","CHECK")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2026-10-15T19:35:28Z</dcterms:created>
  <dcterms:modified xmlns:dcterms="http://purl.org/dc/terms/" xmlns:xsi="http://www.w3.org/2001/XMLSchema-instance" xsi:type="dcterms:W3CDTF">2026-10-15T19:35:28Z</dcterms:modified>
</cp:coreProperties>
</file>