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QoE" sheetId="3" state="visible" r:id="rId3"/>
    <sheet xmlns:r="http://schemas.openxmlformats.org/officeDocument/2006/relationships" name="Revenue" sheetId="4" state="visible" r:id="rId4"/>
    <sheet xmlns:r="http://schemas.openxmlformats.org/officeDocument/2006/relationships" name="Net Debt" sheetId="5" state="visible" r:id="rId5"/>
    <sheet xmlns:r="http://schemas.openxmlformats.org/officeDocument/2006/relationships" name="NWC" sheetId="6" state="visible" r:id="rId6"/>
    <sheet xmlns:r="http://schemas.openxmlformats.org/officeDocument/2006/relationships" name="Closing" sheetId="7" state="visible" r:id="rId7"/>
    <sheet xmlns:r="http://schemas.openxmlformats.org/officeDocument/2006/relationships" name="Capex" sheetId="8" state="visible" r:id="rId8"/>
    <sheet xmlns:r="http://schemas.openxmlformats.org/officeDocument/2006/relationships" name="Check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;[Red]-#,##0.0"/>
    <numFmt numFmtId="165" formatCode="0.0&quot;x&quot;"/>
    <numFmt numFmtId="166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color rgb="001F4FB4"/>
      <sz val="10"/>
    </font>
  </fonts>
  <fills count="6">
    <fill>
      <patternFill/>
    </fill>
    <fill>
      <patternFill patternType="gray125"/>
    </fill>
    <fill>
      <patternFill patternType="solid">
        <fgColor rgb="001A2446"/>
      </patternFill>
    </fill>
    <fill>
      <patternFill patternType="solid">
        <fgColor rgb="0034406A"/>
      </patternFill>
    </fill>
    <fill>
      <patternFill patternType="solid">
        <fgColor rgb="00EEF3FB"/>
      </patternFill>
    </fill>
    <fill>
      <patternFill patternType="solid">
        <fgColor rgb="00F3EA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164" fontId="5" fillId="4" borderId="0" pivotButton="0" quotePrefix="0" xfId="0"/>
    <xf numFmtId="3" fontId="5" fillId="4" borderId="0" pivotButton="0" quotePrefix="0" xfId="0"/>
    <xf numFmtId="165" fontId="5" fillId="4" borderId="0" pivotButton="0" quotePrefix="0" xfId="0"/>
    <xf numFmtId="164" fontId="2" fillId="0" borderId="0" pivotButton="0" quotePrefix="0" xfId="0"/>
    <xf numFmtId="0" fontId="3" fillId="5" borderId="0" pivotButton="0" quotePrefix="0" xfId="0"/>
    <xf numFmtId="164" fontId="3" fillId="5" borderId="0" pivotButton="0" quotePrefix="0" xfId="0"/>
    <xf numFmtId="166" fontId="2" fillId="0" borderId="0" pivotButton="0" quotePrefix="0" xfId="0"/>
    <xf numFmtId="165" fontId="2" fillId="0" borderId="0" pivotButton="0" quotePrefix="0" xfId="0"/>
    <xf numFmtId="3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5" customWidth="1" min="2" max="2"/>
  </cols>
  <sheetData>
    <row r="1" ht="10" customHeight="1"/>
    <row r="2">
      <c r="B2" s="1" t="inlineStr">
        <is>
          <t>The Financial Due Diligence Associate: companion workbook</t>
        </is>
      </c>
    </row>
    <row r="4">
      <c r="B4" s="2" t="inlineStr">
        <is>
          <t>This workbook rebuilds the Quellmark case of The Financial Due Diligence Associate (Julian R. Sterling, 2026) with live formulas.</t>
        </is>
      </c>
    </row>
    <row r="5">
      <c r="B5" s="2" t="inlineStr">
        <is>
          <t>Blue cells on a light blue background are inputs. Everything else is a formula. Amounts in US$ million unless stated.</t>
        </is>
      </c>
    </row>
    <row r="6">
      <c r="B6" s="2" t="inlineStr">
        <is>
          <t>Inputs: every assumption of the case (reported figures, adjustments and their drivers, revenue analysis, net debt items, monthly working capital, closing balances, capex, the deal).</t>
        </is>
      </c>
    </row>
    <row r="7">
      <c r="B7" s="2" t="inlineStr">
        <is>
          <t>QoE (Chapters 4 to 6 and 8): the bridge from reported to diligence-adjusted EBITDA, FY2023 to FY2025, Q1 2025, Q1 2026 and LTM March 2026; the CIM and the sell-side QoE for comparison.</t>
        </is>
      </c>
    </row>
    <row r="8">
      <c r="B8" s="2" t="inlineStr">
        <is>
          <t>Revenue (Chapter 7): revenue and growth, segments, price and volume, customer concentration, working capital days.</t>
        </is>
      </c>
    </row>
    <row r="9">
      <c r="B9" s="2" t="inlineStr">
        <is>
          <t>Net Debt (Chapter 9): net debt at 31 March 2026, the debt-like items with an agreed flag (1 or 0), and the illustrative equity bridge.</t>
        </is>
      </c>
    </row>
    <row r="10">
      <c r="B10" s="2" t="inlineStr">
        <is>
          <t>NWC (Chapter 10): twelve month-end balances, the rebate and reserve adjustments, the averages and the three pegs.</t>
        </is>
      </c>
    </row>
    <row r="11">
      <c r="B11" s="2" t="inlineStr">
        <is>
          <t>Closing (Chapter 13): the estimated and final closing statements, the claim against the seller and the escrow.</t>
        </is>
      </c>
    </row>
    <row r="12">
      <c r="B12" s="2" t="inlineStr">
        <is>
          <t>Capex (Chapter 11): capital expenditure, maintenance and growth, cash conversion.</t>
        </is>
      </c>
    </row>
    <row r="13">
      <c r="B13" s="2" t="inlineStr">
        <is>
          <t>Checks: the figures printed in the book beside the formulas that produce them. ALL CHECKS OK on the default inputs.</t>
        </is>
      </c>
    </row>
    <row r="14">
      <c r="B14" s="2" t="inlineStr">
        <is>
          <t>Everything in the case is fictional and illustrative; the model is simplified. Nothing here is accounting, investment, legal or tax advice. No macro, no circular reference, no external link.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9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10" customHeight="1"/>
    <row r="2">
      <c r="B2" s="1" t="inlineStr">
        <is>
          <t>Inputs (blue cells)</t>
        </is>
      </c>
      <c r="C2" s="3" t="n"/>
      <c r="D2" s="3" t="n"/>
      <c r="E2" s="3" t="n"/>
      <c r="F2" s="3" t="n"/>
    </row>
    <row r="5">
      <c r="B5" s="4" t="inlineStr">
        <is>
          <t>Reported figures (columns: FY2023, FY2024, FY2025)</t>
        </is>
      </c>
    </row>
    <row r="6">
      <c r="B6" s="5" t="inlineStr"/>
      <c r="C6" s="5" t="inlineStr">
        <is>
          <t>FY2023</t>
        </is>
      </c>
      <c r="D6" s="5" t="inlineStr">
        <is>
          <t>FY2024</t>
        </is>
      </c>
      <c r="E6" s="5" t="inlineStr">
        <is>
          <t>FY2025</t>
        </is>
      </c>
    </row>
    <row r="7">
      <c r="B7" s="2" t="inlineStr">
        <is>
          <t>Revenue</t>
        </is>
      </c>
      <c r="C7" s="6" t="n">
        <v>168</v>
      </c>
      <c r="D7" s="6" t="n">
        <v>181.5</v>
      </c>
      <c r="E7" s="6" t="n">
        <v>194.2</v>
      </c>
    </row>
    <row r="8">
      <c r="B8" s="2" t="inlineStr">
        <is>
          <t>Gross profit</t>
        </is>
      </c>
      <c r="C8" s="6" t="n">
        <v>40.3</v>
      </c>
      <c r="D8" s="6" t="n">
        <v>44.5</v>
      </c>
      <c r="E8" s="6" t="n">
        <v>48.6</v>
      </c>
    </row>
    <row r="9">
      <c r="B9" s="2" t="inlineStr">
        <is>
          <t>Reported EBITDA</t>
        </is>
      </c>
      <c r="C9" s="6" t="n">
        <v>19.6</v>
      </c>
      <c r="D9" s="6" t="n">
        <v>21</v>
      </c>
      <c r="E9" s="6" t="n">
        <v>21.8</v>
      </c>
    </row>
    <row r="11">
      <c r="B11" s="4" t="inlineStr">
        <is>
          <t>Adjustment drivers (columns: FY2023, FY2024, FY2025)</t>
        </is>
      </c>
    </row>
    <row r="12">
      <c r="B12" s="2" t="inlineStr">
        <is>
          <t>Retiring chief executive's total pay</t>
        </is>
      </c>
      <c r="C12" s="6" t="n">
        <v>1.4</v>
      </c>
      <c r="D12" s="6" t="n">
        <v>1.4</v>
      </c>
      <c r="E12" s="6" t="n">
        <v>1.4</v>
      </c>
    </row>
    <row r="13">
      <c r="B13" s="2" t="inlineStr">
        <is>
          <t>Market-rate replacement chief executive (salary, bonus, benefits)</t>
        </is>
      </c>
      <c r="C13" s="6" t="n">
        <v>0.9</v>
      </c>
      <c r="D13" s="6" t="n">
        <v>0.9</v>
      </c>
      <c r="E13" s="6" t="n">
        <v>0.9</v>
      </c>
    </row>
    <row r="14">
      <c r="B14" s="2" t="inlineStr">
        <is>
          <t>Customer contract dispute settled (legal costs)</t>
        </is>
      </c>
      <c r="C14" s="6" t="n">
        <v>0</v>
      </c>
      <c r="D14" s="6" t="n">
        <v>0.2</v>
      </c>
      <c r="E14" s="6" t="n">
        <v>0.6</v>
      </c>
    </row>
    <row r="15">
      <c r="B15" s="2" t="inlineStr">
        <is>
          <t>Relocation of the flexible packaging line</t>
        </is>
      </c>
      <c r="C15" s="6" t="n">
        <v>0</v>
      </c>
      <c r="D15" s="6" t="n">
        <v>0</v>
      </c>
      <c r="E15" s="6" t="n">
        <v>0.4</v>
      </c>
    </row>
    <row r="16">
      <c r="B16" s="2" t="inlineStr">
        <is>
          <t>Run-rate of the new contract claimed in the CIM (FY2025)</t>
        </is>
      </c>
      <c r="C16" s="6" t="n">
        <v>0</v>
      </c>
      <c r="D16" s="6" t="n">
        <v>0</v>
      </c>
      <c r="E16" s="6" t="n">
        <v>0.3</v>
      </c>
    </row>
    <row r="17">
      <c r="B17" s="2" t="inlineStr">
        <is>
          <t>Run-rate accepted? (1 yes, 0 no)</t>
        </is>
      </c>
      <c r="C17" s="7" t="n">
        <v>0</v>
      </c>
    </row>
    <row r="18">
      <c r="B18" s="2" t="inlineStr">
        <is>
          <t>Unrecorded rebate shortfall at year end (columns: 2022, 2023, 2024, 2025)</t>
        </is>
      </c>
      <c r="C18" s="5" t="inlineStr">
        <is>
          <t>2022</t>
        </is>
      </c>
      <c r="D18" s="5" t="inlineStr">
        <is>
          <t>2023</t>
        </is>
      </c>
      <c r="E18" s="5" t="inlineStr">
        <is>
          <t>2024</t>
        </is>
      </c>
      <c r="F18" s="5" t="inlineStr">
        <is>
          <t>2025</t>
        </is>
      </c>
    </row>
    <row r="19">
      <c r="B19" s="2" t="inlineStr">
        <is>
          <t>Rebate shortfall</t>
        </is>
      </c>
      <c r="C19" s="6" t="n">
        <v>0.2</v>
      </c>
      <c r="D19" s="6" t="n">
        <v>0.5</v>
      </c>
      <c r="E19" s="6" t="n">
        <v>1</v>
      </c>
      <c r="F19" s="6" t="n">
        <v>1.7</v>
      </c>
    </row>
    <row r="20">
      <c r="B20" s="2" t="inlineStr">
        <is>
          <t>Inventory reserve released in December (FY2025)</t>
        </is>
      </c>
      <c r="C20" s="6" t="n">
        <v>0</v>
      </c>
      <c r="D20" s="6" t="n">
        <v>0</v>
      </c>
      <c r="E20" s="6" t="n">
        <v>0.5</v>
      </c>
    </row>
    <row r="21">
      <c r="B21" s="2" t="inlineStr">
        <is>
          <t>Rent paid to the founder</t>
        </is>
      </c>
      <c r="C21" s="6" t="n">
        <v>0.7</v>
      </c>
      <c r="D21" s="6" t="n">
        <v>0.7</v>
      </c>
      <c r="E21" s="6" t="n">
        <v>0.7</v>
      </c>
    </row>
    <row r="22">
      <c r="B22" s="2" t="inlineStr">
        <is>
          <t>Market rent (appraisal)</t>
        </is>
      </c>
      <c r="C22" s="6" t="n">
        <v>1.1</v>
      </c>
      <c r="D22" s="6" t="n">
        <v>1.1</v>
      </c>
      <c r="E22" s="6" t="n">
        <v>1.1</v>
      </c>
    </row>
    <row r="23">
      <c r="B23" s="2" t="inlineStr">
        <is>
          <t>2025 bonuses accrued</t>
        </is>
      </c>
      <c r="C23" s="6" t="n">
        <v>0</v>
      </c>
      <c r="D23" s="6" t="n">
        <v>0</v>
      </c>
      <c r="E23" s="6" t="n">
        <v>1.5</v>
      </c>
    </row>
    <row r="24">
      <c r="B24" s="2" t="inlineStr">
        <is>
          <t>2025 bonuses paid</t>
        </is>
      </c>
      <c r="C24" s="6" t="n">
        <v>0</v>
      </c>
      <c r="D24" s="6" t="n">
        <v>0</v>
      </c>
      <c r="E24" s="6" t="n">
        <v>1.8</v>
      </c>
    </row>
    <row r="26">
      <c r="B26" s="4" t="inlineStr">
        <is>
          <t>Sell-side QoE and CIM (FY2025)</t>
        </is>
      </c>
    </row>
    <row r="27">
      <c r="B27" s="2" t="inlineStr">
        <is>
          <t>Sell-side QoE volume rebate cut-off</t>
        </is>
      </c>
      <c r="C27" s="6" t="n">
        <v>-0.6</v>
      </c>
    </row>
    <row r="28">
      <c r="B28" s="2" t="inlineStr">
        <is>
          <t>Owner compensation add-back claimed (CIM and sell-side QoE)</t>
        </is>
      </c>
      <c r="C28" s="6" t="n">
        <v>0.9</v>
      </c>
    </row>
    <row r="30">
      <c r="B30" s="4" t="inlineStr">
        <is>
          <t>First quarters (columns: Q1 2025, Q1 2026)</t>
        </is>
      </c>
    </row>
    <row r="31">
      <c r="B31" s="2" t="inlineStr">
        <is>
          <t>Revenue</t>
        </is>
      </c>
      <c r="C31" s="6" t="n">
        <v>45.6</v>
      </c>
      <c r="D31" s="6" t="n">
        <v>47.9</v>
      </c>
    </row>
    <row r="32">
      <c r="B32" s="2" t="inlineStr">
        <is>
          <t>Reported EBITDA</t>
        </is>
      </c>
      <c r="C32" s="6" t="n">
        <v>5.1</v>
      </c>
      <c r="D32" s="6" t="n">
        <v>5.6</v>
      </c>
    </row>
    <row r="33">
      <c r="B33" s="2" t="inlineStr">
        <is>
          <t>Owner compensation</t>
        </is>
      </c>
      <c r="C33" s="6" t="n">
        <v>0.1</v>
      </c>
      <c r="D33" s="6" t="n">
        <v>0.1</v>
      </c>
    </row>
    <row r="34">
      <c r="B34" s="2" t="inlineStr">
        <is>
          <t>Rebate shortfall built up in the quarter</t>
        </is>
      </c>
      <c r="C34" s="6" t="n">
        <v>-0.4</v>
      </c>
      <c r="D34" s="6" t="n">
        <v>-0.5</v>
      </c>
    </row>
    <row r="35">
      <c r="B35" s="2" t="inlineStr">
        <is>
          <t>Rent</t>
        </is>
      </c>
      <c r="C35" s="6" t="n">
        <v>-0.1</v>
      </c>
      <c r="D35" s="6" t="n">
        <v>-0.1</v>
      </c>
    </row>
    <row r="36">
      <c r="B36" s="2" t="inlineStr">
        <is>
          <t>2025 bonus true-up booked in Q1 2026 (out of period)</t>
        </is>
      </c>
      <c r="C36" s="6" t="n">
        <v>0</v>
      </c>
      <c r="D36" s="6" t="n">
        <v>0.3</v>
      </c>
    </row>
    <row r="37">
      <c r="B37" s="2" t="inlineStr">
        <is>
          <t>Q1 2026 owner compensation on management's basis</t>
        </is>
      </c>
      <c r="C37" s="6" t="n">
        <v>0.2</v>
      </c>
    </row>
    <row r="38">
      <c r="B38" s="2" t="inlineStr">
        <is>
          <t>Q1 2026 budget (management's adjusted basis)</t>
        </is>
      </c>
      <c r="C38" s="6" t="n">
        <v>5.9</v>
      </c>
    </row>
    <row r="40">
      <c r="B40" s="4" t="inlineStr">
        <is>
          <t>Revenue analysis (FY2025)</t>
        </is>
      </c>
    </row>
    <row r="41">
      <c r="B41" s="2" t="inlineStr">
        <is>
          <t>Segments: labels, flexible packaging</t>
        </is>
      </c>
      <c r="C41" s="6" t="n">
        <v>112.6</v>
      </c>
      <c r="D41" s="6" t="n">
        <v>81.59999999999999</v>
      </c>
    </row>
    <row r="42">
      <c r="B42" s="2" t="inlineStr">
        <is>
          <t>Growth: price, volume and mix</t>
        </is>
      </c>
      <c r="C42" s="6" t="n">
        <v>7.4</v>
      </c>
      <c r="D42" s="6" t="n">
        <v>5.3</v>
      </c>
    </row>
    <row r="43">
      <c r="B43" s="2" t="inlineStr">
        <is>
          <t>Largest customer, top ten customers</t>
        </is>
      </c>
      <c r="C43" s="6" t="n">
        <v>27.2</v>
      </c>
      <c r="D43" s="6" t="n">
        <v>101</v>
      </c>
    </row>
    <row r="44">
      <c r="B44" s="2" t="inlineStr">
        <is>
          <t>Days: receivables, inventory, payables</t>
        </is>
      </c>
      <c r="C44" s="7" t="n">
        <v>52</v>
      </c>
      <c r="D44" s="7" t="n">
        <v>61</v>
      </c>
      <c r="E44" s="7" t="n">
        <v>44</v>
      </c>
    </row>
    <row r="46">
      <c r="B46" s="4" t="inlineStr">
        <is>
          <t>Deal</t>
        </is>
      </c>
    </row>
    <row r="47">
      <c r="B47" s="2" t="inlineStr">
        <is>
          <t>LOI multiple of the CIM figure</t>
        </is>
      </c>
      <c r="C47" s="8" t="n">
        <v>9</v>
      </c>
    </row>
    <row r="48">
      <c r="B48" s="2" t="inlineStr">
        <is>
          <t>Agreed enterprise value</t>
        </is>
      </c>
      <c r="C48" s="6" t="n">
        <v>204</v>
      </c>
    </row>
    <row r="50">
      <c r="B50" s="4" t="inlineStr">
        <is>
          <t>Net debt at 31 March 2026</t>
        </is>
      </c>
    </row>
    <row r="51">
      <c r="B51" s="2" t="inlineStr">
        <is>
          <t>Term loan</t>
        </is>
      </c>
      <c r="C51" s="6" t="n">
        <v>31</v>
      </c>
    </row>
    <row r="52">
      <c r="B52" s="2" t="inlineStr">
        <is>
          <t>Revolver</t>
        </is>
      </c>
      <c r="C52" s="6" t="n">
        <v>7.5</v>
      </c>
    </row>
    <row r="53">
      <c r="B53" s="2" t="inlineStr">
        <is>
          <t>Finance leases</t>
        </is>
      </c>
      <c r="C53" s="6" t="n">
        <v>1.3</v>
      </c>
    </row>
    <row r="54">
      <c r="B54" s="2" t="inlineStr">
        <is>
          <t>Cash at bank</t>
        </is>
      </c>
      <c r="C54" s="6" t="n">
        <v>6.2</v>
      </c>
    </row>
    <row r="55">
      <c r="B55" s="2" t="inlineStr">
        <is>
          <t>Outstanding checks</t>
        </is>
      </c>
      <c r="C55" s="6" t="n">
        <v>0.8</v>
      </c>
    </row>
    <row r="56">
      <c r="B56" s="4" t="inlineStr">
        <is>
          <t>Debt-like items (amount, agreed flag 1 or 0)</t>
        </is>
      </c>
    </row>
    <row r="57">
      <c r="B57" s="2" t="inlineStr">
        <is>
          <t>Accrued 2025 bonuses, paid April 2026</t>
        </is>
      </c>
      <c r="C57" s="6" t="n">
        <v>1.8</v>
      </c>
      <c r="D57" s="7" t="n">
        <v>1</v>
      </c>
    </row>
    <row r="58">
      <c r="B58" s="2" t="inlineStr">
        <is>
          <t>Transaction bonuses to management, payable at closing</t>
        </is>
      </c>
      <c r="C58" s="6" t="n">
        <v>1.2</v>
      </c>
      <c r="D58" s="7" t="n">
        <v>1</v>
      </c>
    </row>
    <row r="59">
      <c r="B59" s="2" t="inlineStr">
        <is>
          <t>Unpaid invoice for the new press (delivered, installed)</t>
        </is>
      </c>
      <c r="C59" s="6" t="n">
        <v>2.4</v>
      </c>
      <c r="D59" s="7" t="n">
        <v>1</v>
      </c>
    </row>
    <row r="60">
      <c r="B60" s="2" t="inlineStr">
        <is>
          <t>Founder's deferred compensation</t>
        </is>
      </c>
      <c r="C60" s="6" t="n">
        <v>0.6</v>
      </c>
      <c r="D60" s="7" t="n">
        <v>1</v>
      </c>
    </row>
    <row r="61">
      <c r="B61" s="2" t="inlineStr">
        <is>
          <t>Income taxes payable for pre-closing periods</t>
        </is>
      </c>
      <c r="C61" s="6" t="n">
        <v>1.1</v>
      </c>
      <c r="D61" s="7" t="n">
        <v>1</v>
      </c>
    </row>
    <row r="62">
      <c r="B62" s="2" t="inlineStr">
        <is>
          <t>Environmental remediation at the former site (estimate)</t>
        </is>
      </c>
      <c r="C62" s="6" t="n">
        <v>0.5</v>
      </c>
      <c r="D62" s="7" t="n">
        <v>1</v>
      </c>
    </row>
    <row r="63">
      <c r="B63" s="2" t="inlineStr">
        <is>
          <t>2025 volume rebates owed to customers and paid in Q2 2026 (0.6 accrued at the base rate plus the 1.7 unrecorded shortfall)</t>
        </is>
      </c>
      <c r="C63" s="6" t="n">
        <v>2.3</v>
      </c>
      <c r="D63" s="7" t="n">
        <v>0</v>
      </c>
    </row>
    <row r="64">
      <c r="B64" s="2" t="inlineStr">
        <is>
          <t>Operating lease liabilities (ASC 842, not debt)</t>
        </is>
      </c>
      <c r="C64" s="6" t="n">
        <v>9.6</v>
      </c>
    </row>
    <row r="66">
      <c r="B66" s="4" t="inlineStr">
        <is>
          <t>Working capital, month-end (reported, rebate adjustment, reserve adjustment)</t>
        </is>
      </c>
    </row>
    <row r="67">
      <c r="B67" s="5" t="inlineStr">
        <is>
          <t>Month</t>
        </is>
      </c>
      <c r="C67" s="5" t="inlineStr">
        <is>
          <t>Reported</t>
        </is>
      </c>
      <c r="D67" s="5" t="inlineStr">
        <is>
          <t>Rebates</t>
        </is>
      </c>
      <c r="E67" s="5" t="inlineStr">
        <is>
          <t>Reserve</t>
        </is>
      </c>
    </row>
    <row r="68">
      <c r="B68" s="2" t="inlineStr">
        <is>
          <t>Apr-25</t>
        </is>
      </c>
      <c r="C68" s="6" t="n">
        <v>31.6</v>
      </c>
      <c r="D68" s="6" t="n">
        <v>-1.6</v>
      </c>
      <c r="E68" s="6" t="n">
        <v>0</v>
      </c>
    </row>
    <row r="69">
      <c r="B69" s="2" t="inlineStr">
        <is>
          <t>May-25</t>
        </is>
      </c>
      <c r="C69" s="6" t="n">
        <v>32.4</v>
      </c>
      <c r="D69" s="6" t="n">
        <v>-0.7</v>
      </c>
      <c r="E69" s="6" t="n">
        <v>0</v>
      </c>
    </row>
    <row r="70">
      <c r="B70" s="2" t="inlineStr">
        <is>
          <t>Jun-25</t>
        </is>
      </c>
      <c r="C70" s="6" t="n">
        <v>33</v>
      </c>
      <c r="D70" s="6" t="n">
        <v>-0.9</v>
      </c>
      <c r="E70" s="6" t="n">
        <v>0</v>
      </c>
    </row>
    <row r="71">
      <c r="B71" s="2" t="inlineStr">
        <is>
          <t>Jul-25</t>
        </is>
      </c>
      <c r="C71" s="6" t="n">
        <v>32.2</v>
      </c>
      <c r="D71" s="6" t="n">
        <v>-1</v>
      </c>
      <c r="E71" s="6" t="n">
        <v>0</v>
      </c>
    </row>
    <row r="72">
      <c r="B72" s="2" t="inlineStr">
        <is>
          <t>Aug-25</t>
        </is>
      </c>
      <c r="C72" s="6" t="n">
        <v>31.4</v>
      </c>
      <c r="D72" s="6" t="n">
        <v>-1.1</v>
      </c>
      <c r="E72" s="6" t="n">
        <v>0</v>
      </c>
    </row>
    <row r="73">
      <c r="B73" s="2" t="inlineStr">
        <is>
          <t>Sep-25</t>
        </is>
      </c>
      <c r="C73" s="6" t="n">
        <v>30.8</v>
      </c>
      <c r="D73" s="6" t="n">
        <v>-1.3</v>
      </c>
      <c r="E73" s="6" t="n">
        <v>0</v>
      </c>
    </row>
    <row r="74">
      <c r="B74" s="2" t="inlineStr">
        <is>
          <t>Oct-25</t>
        </is>
      </c>
      <c r="C74" s="6" t="n">
        <v>30.1</v>
      </c>
      <c r="D74" s="6" t="n">
        <v>-1.4</v>
      </c>
      <c r="E74" s="6" t="n">
        <v>0</v>
      </c>
    </row>
    <row r="75">
      <c r="B75" s="2" t="inlineStr">
        <is>
          <t>Nov-25</t>
        </is>
      </c>
      <c r="C75" s="6" t="n">
        <v>29.5</v>
      </c>
      <c r="D75" s="6" t="n">
        <v>-1.6</v>
      </c>
      <c r="E75" s="6" t="n">
        <v>0</v>
      </c>
    </row>
    <row r="76">
      <c r="B76" s="2" t="inlineStr">
        <is>
          <t>Dec-25</t>
        </is>
      </c>
      <c r="C76" s="6" t="n">
        <v>27.2</v>
      </c>
      <c r="D76" s="6" t="n">
        <v>-1.7</v>
      </c>
      <c r="E76" s="6" t="n">
        <v>-0.5</v>
      </c>
    </row>
    <row r="77">
      <c r="B77" s="2" t="inlineStr">
        <is>
          <t>Jan-26</t>
        </is>
      </c>
      <c r="C77" s="6" t="n">
        <v>28.4</v>
      </c>
      <c r="D77" s="6" t="n">
        <v>-1.9</v>
      </c>
      <c r="E77" s="6" t="n">
        <v>-0.5</v>
      </c>
    </row>
    <row r="78">
      <c r="B78" s="2" t="inlineStr">
        <is>
          <t>Feb-26</t>
        </is>
      </c>
      <c r="C78" s="6" t="n">
        <v>29.6</v>
      </c>
      <c r="D78" s="6" t="n">
        <v>-2.1</v>
      </c>
      <c r="E78" s="6" t="n">
        <v>-0.5</v>
      </c>
    </row>
    <row r="79">
      <c r="B79" s="2" t="inlineStr">
        <is>
          <t>Mar-26</t>
        </is>
      </c>
      <c r="C79" s="6" t="n">
        <v>31</v>
      </c>
      <c r="D79" s="6" t="n">
        <v>-2.2</v>
      </c>
      <c r="E79" s="6" t="n">
        <v>-0.5</v>
      </c>
    </row>
    <row r="80">
      <c r="B80" s="2" t="inlineStr">
        <is>
          <t>Agreed peg</t>
        </is>
      </c>
      <c r="C80" s="6" t="n">
        <v>28.4</v>
      </c>
    </row>
    <row r="82">
      <c r="B82" s="4" t="inlineStr">
        <is>
          <t>Closing (30 June 2026): estimate, final</t>
        </is>
      </c>
    </row>
    <row r="83">
      <c r="B83" s="2" t="inlineStr">
        <is>
          <t>Bank debt repaid at closing</t>
        </is>
      </c>
      <c r="C83" s="6" t="n">
        <v>36.2</v>
      </c>
    </row>
    <row r="84">
      <c r="B84" s="2" t="inlineStr">
        <is>
          <t>Finance leases</t>
        </is>
      </c>
      <c r="C84" s="6" t="n">
        <v>1.2</v>
      </c>
    </row>
    <row r="85">
      <c r="B85" s="2" t="inlineStr">
        <is>
          <t>Debt-like items</t>
        </is>
      </c>
      <c r="C85" s="6" t="n">
        <v>5.8</v>
      </c>
    </row>
    <row r="86">
      <c r="B86" s="2" t="inlineStr">
        <is>
          <t>Cash: estimate, final</t>
        </is>
      </c>
      <c r="C86" s="6" t="n">
        <v>7.9</v>
      </c>
      <c r="D86" s="6" t="n">
        <v>7.6</v>
      </c>
    </row>
    <row r="87">
      <c r="B87" s="2" t="inlineStr">
        <is>
          <t>Working capital: estimate, final</t>
        </is>
      </c>
      <c r="C87" s="6" t="n">
        <v>31.4</v>
      </c>
      <c r="D87" s="6" t="n">
        <v>30.7</v>
      </c>
    </row>
    <row r="88">
      <c r="B88" s="2" t="inlineStr">
        <is>
          <t>Adjustment escrow</t>
        </is>
      </c>
      <c r="C88" s="6" t="n">
        <v>2</v>
      </c>
    </row>
    <row r="90">
      <c r="B90" s="4" t="inlineStr">
        <is>
          <t>Capex (columns: FY2023, FY2024, FY2025)</t>
        </is>
      </c>
    </row>
    <row r="91">
      <c r="B91" s="2" t="inlineStr">
        <is>
          <t>Capital expenditure</t>
        </is>
      </c>
      <c r="C91" s="6" t="n">
        <v>6.8</v>
      </c>
      <c r="D91" s="6" t="n">
        <v>7.4</v>
      </c>
      <c r="E91" s="6" t="n">
        <v>11.9</v>
      </c>
    </row>
    <row r="92">
      <c r="B92" s="2" t="inlineStr">
        <is>
          <t>Growth capex (FY2025: the new press)</t>
        </is>
      </c>
      <c r="C92" s="6" t="n">
        <v>0</v>
      </c>
      <c r="D92" s="6" t="n">
        <v>0</v>
      </c>
      <c r="E92" s="6" t="n">
        <v>5.2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 ht="10" customHeight="1"/>
    <row r="2">
      <c r="B2" s="1" t="inlineStr">
        <is>
          <t>Quality of earnings bridge ($ million)</t>
        </is>
      </c>
      <c r="C2" s="3" t="n"/>
      <c r="D2" s="3" t="n"/>
      <c r="E2" s="3" t="n"/>
      <c r="F2" s="3" t="n"/>
      <c r="G2" s="3" t="n"/>
      <c r="H2" s="3" t="n"/>
    </row>
    <row r="4">
      <c r="B4" s="5" t="inlineStr"/>
      <c r="C4" s="5" t="inlineStr">
        <is>
          <t>FY2023</t>
        </is>
      </c>
      <c r="D4" s="5" t="inlineStr">
        <is>
          <t>FY2024</t>
        </is>
      </c>
      <c r="E4" s="5" t="inlineStr">
        <is>
          <t>FY2025</t>
        </is>
      </c>
      <c r="F4" s="5" t="inlineStr">
        <is>
          <t>Q1 2025</t>
        </is>
      </c>
      <c r="G4" s="5" t="inlineStr">
        <is>
          <t>Q1 2026</t>
        </is>
      </c>
      <c r="H4" s="5" t="inlineStr">
        <is>
          <t>LTM Mar-26</t>
        </is>
      </c>
    </row>
    <row r="5">
      <c r="B5" s="4" t="inlineStr">
        <is>
          <t>Reported EBITDA</t>
        </is>
      </c>
      <c r="C5" s="9">
        <f>Inputs!$C$9</f>
        <v/>
      </c>
      <c r="D5" s="9">
        <f>Inputs!$D$9</f>
        <v/>
      </c>
      <c r="E5" s="9">
        <f>Inputs!$E$9</f>
        <v/>
      </c>
      <c r="F5" s="9">
        <f>Inputs!$C$32</f>
        <v/>
      </c>
      <c r="G5" s="9">
        <f>Inputs!$D$32</f>
        <v/>
      </c>
      <c r="H5" s="9">
        <f>E5+G5-F5</f>
        <v/>
      </c>
    </row>
    <row r="6">
      <c r="B6" s="2" t="inlineStr">
        <is>
          <t>Owner compensation (net of replacement)</t>
        </is>
      </c>
      <c r="C6" s="9">
        <f>Inputs!$C$12-Inputs!$C$13</f>
        <v/>
      </c>
      <c r="D6" s="9">
        <f>Inputs!$D$12-Inputs!$D$13</f>
        <v/>
      </c>
      <c r="E6" s="9">
        <f>Inputs!$E$12-Inputs!$E$13</f>
        <v/>
      </c>
      <c r="F6" s="9">
        <f>Inputs!$C$33</f>
        <v/>
      </c>
      <c r="G6" s="9">
        <f>Inputs!$D$33</f>
        <v/>
      </c>
      <c r="H6" s="9">
        <f>E6+G6-F6</f>
        <v/>
      </c>
    </row>
    <row r="7">
      <c r="B7" s="2" t="inlineStr">
        <is>
          <t>Legal costs (settled dispute)</t>
        </is>
      </c>
      <c r="C7" s="9">
        <f>Inputs!$C$14</f>
        <v/>
      </c>
      <c r="D7" s="9">
        <f>Inputs!$D$14</f>
        <v/>
      </c>
      <c r="E7" s="9">
        <f>Inputs!$E$14</f>
        <v/>
      </c>
      <c r="F7" s="9">
        <f>0</f>
        <v/>
      </c>
      <c r="G7" s="9">
        <f>0</f>
        <v/>
      </c>
      <c r="H7" s="9">
        <f>E7+G7-F7</f>
        <v/>
      </c>
    </row>
    <row r="8">
      <c r="B8" s="2" t="inlineStr">
        <is>
          <t>Relocation of the packaging line</t>
        </is>
      </c>
      <c r="C8" s="9">
        <f>Inputs!$C$15</f>
        <v/>
      </c>
      <c r="D8" s="9">
        <f>Inputs!$D$15</f>
        <v/>
      </c>
      <c r="E8" s="9">
        <f>Inputs!$E$15</f>
        <v/>
      </c>
      <c r="F8" s="9">
        <f>0</f>
        <v/>
      </c>
      <c r="G8" s="9">
        <f>0</f>
        <v/>
      </c>
      <c r="H8" s="9">
        <f>E8+G8-F8</f>
        <v/>
      </c>
    </row>
    <row r="9">
      <c r="B9" s="2" t="inlineStr">
        <is>
          <t>Run-rate of the new contract</t>
        </is>
      </c>
      <c r="C9" s="9">
        <f>Inputs!$C$16*Inputs!$C$17</f>
        <v/>
      </c>
      <c r="D9" s="9">
        <f>Inputs!$D$16*Inputs!$C$17</f>
        <v/>
      </c>
      <c r="E9" s="9">
        <f>Inputs!$E$16*Inputs!$C$17</f>
        <v/>
      </c>
      <c r="F9" s="9">
        <f>0</f>
        <v/>
      </c>
      <c r="G9" s="9">
        <f>0</f>
        <v/>
      </c>
      <c r="H9" s="9">
        <f>E9+G9-F9</f>
        <v/>
      </c>
    </row>
    <row r="10">
      <c r="B10" s="2" t="inlineStr">
        <is>
          <t>Volume rebate shortfall (earned basis)</t>
        </is>
      </c>
      <c r="C10" s="9">
        <f>-(Inputs!$D$19-Inputs!$C$19)</f>
        <v/>
      </c>
      <c r="D10" s="9">
        <f>-(Inputs!$E$19-Inputs!$D$19)</f>
        <v/>
      </c>
      <c r="E10" s="9">
        <f>-(Inputs!$F$19-Inputs!$E$19)</f>
        <v/>
      </c>
      <c r="F10" s="9">
        <f>Inputs!$C$34</f>
        <v/>
      </c>
      <c r="G10" s="9">
        <f>Inputs!$D$34</f>
        <v/>
      </c>
      <c r="H10" s="9">
        <f>E10+G10-F10</f>
        <v/>
      </c>
    </row>
    <row r="11">
      <c r="B11" s="2" t="inlineStr">
        <is>
          <t>Inventory reserve release</t>
        </is>
      </c>
      <c r="C11" s="9">
        <f>-Inputs!$C$20</f>
        <v/>
      </c>
      <c r="D11" s="9">
        <f>-Inputs!$D$20</f>
        <v/>
      </c>
      <c r="E11" s="9">
        <f>-Inputs!$E$20</f>
        <v/>
      </c>
      <c r="F11" s="9">
        <f>0</f>
        <v/>
      </c>
      <c r="G11" s="9">
        <f>0</f>
        <v/>
      </c>
      <c r="H11" s="9">
        <f>E11+G11-F11</f>
        <v/>
      </c>
    </row>
    <row r="12">
      <c r="B12" s="2" t="inlineStr">
        <is>
          <t>Related-party rent at market</t>
        </is>
      </c>
      <c r="C12" s="9">
        <f>-(Inputs!$C$22-Inputs!$C$21)</f>
        <v/>
      </c>
      <c r="D12" s="9">
        <f>-(Inputs!$D$22-Inputs!$D$21)</f>
        <v/>
      </c>
      <c r="E12" s="9">
        <f>-(Inputs!$E$22-Inputs!$E$21)</f>
        <v/>
      </c>
      <c r="F12" s="9">
        <f>Inputs!$C$35</f>
        <v/>
      </c>
      <c r="G12" s="9">
        <f>Inputs!$D$35</f>
        <v/>
      </c>
      <c r="H12" s="9">
        <f>E12+G12-F12</f>
        <v/>
      </c>
    </row>
    <row r="13">
      <c r="B13" s="2" t="inlineStr">
        <is>
          <t>Under-accrued bonuses (FY2025) / true-up removed from Q1 2026</t>
        </is>
      </c>
      <c r="C13" s="9">
        <f>-(Inputs!$C$24-Inputs!$C$23)</f>
        <v/>
      </c>
      <c r="D13" s="9">
        <f>-(Inputs!$D$24-Inputs!$D$23)</f>
        <v/>
      </c>
      <c r="E13" s="9">
        <f>-(Inputs!$E$24-Inputs!$E$23)</f>
        <v/>
      </c>
      <c r="F13" s="9">
        <f>Inputs!$C$36</f>
        <v/>
      </c>
      <c r="G13" s="9">
        <f>Inputs!$D$36</f>
        <v/>
      </c>
      <c r="H13" s="9">
        <f>E13+G13-F13</f>
        <v/>
      </c>
    </row>
    <row r="14">
      <c r="B14" s="10" t="inlineStr">
        <is>
          <t>Diligence-adjusted EBITDA</t>
        </is>
      </c>
      <c r="C14" s="11">
        <f>SUM(C5:C13)</f>
        <v/>
      </c>
      <c r="D14" s="11">
        <f>SUM(D5:D13)</f>
        <v/>
      </c>
      <c r="E14" s="11">
        <f>SUM(E5:E13)</f>
        <v/>
      </c>
      <c r="F14" s="11">
        <f>SUM(F5:F13)</f>
        <v/>
      </c>
      <c r="G14" s="11">
        <f>SUM(G5:G13)</f>
        <v/>
      </c>
      <c r="H14" s="11">
        <f>SUM(H5:H13)</f>
        <v/>
      </c>
    </row>
    <row r="15">
      <c r="B15" s="2" t="inlineStr">
        <is>
          <t>Adjusted EBITDA margin</t>
        </is>
      </c>
      <c r="C15" s="12">
        <f>C14/Inputs!$C$7</f>
        <v/>
      </c>
      <c r="D15" s="12">
        <f>D14/Inputs!$D$7</f>
        <v/>
      </c>
      <c r="E15" s="12">
        <f>E14/Inputs!$E$7</f>
        <v/>
      </c>
    </row>
    <row r="16">
      <c r="B16" s="2" t="inlineStr">
        <is>
          <t>Management adjustments accepted (FY2025)</t>
        </is>
      </c>
      <c r="E16" s="9">
        <f>SUM(E6:E9)</f>
        <v/>
      </c>
    </row>
    <row r="17">
      <c r="B17" s="2" t="inlineStr">
        <is>
          <t>Diligence adjustments (FY2025)</t>
        </is>
      </c>
      <c r="E17" s="9">
        <f>SUM(E10:E13)</f>
        <v/>
      </c>
    </row>
    <row r="19">
      <c r="B19" s="4" t="inlineStr">
        <is>
          <t>CIM Adjusted EBITDA (reported plus all management claims)</t>
        </is>
      </c>
      <c r="E19" s="9">
        <f>Inputs!$E$9+Inputs!$C$28+Inputs!$E$14+Inputs!$E$15+Inputs!$E$16</f>
        <v/>
      </c>
    </row>
    <row r="20">
      <c r="B20" s="4" t="inlineStr">
        <is>
          <t>Sell-side QoE adjusted EBITDA</t>
        </is>
      </c>
      <c r="E20" s="9">
        <f>Inputs!$E$9+Inputs!$C$28+Inputs!$E$14+Inputs!$E$15+Inputs!$C$27</f>
        <v/>
      </c>
    </row>
    <row r="21">
      <c r="B21" s="2" t="inlineStr">
        <is>
          <t>Gap: CIM minus diligence-adjusted</t>
        </is>
      </c>
      <c r="E21" s="9">
        <f>E19-E14</f>
        <v/>
      </c>
    </row>
    <row r="22">
      <c r="B22" s="2" t="inlineStr">
        <is>
          <t>Gap: sell-side QoE minus diligence-adjusted</t>
        </is>
      </c>
      <c r="E22" s="9">
        <f>E20-E14</f>
        <v/>
      </c>
    </row>
    <row r="23">
      <c r="B23" s="2" t="inlineStr">
        <is>
          <t>Q1 2026 on management's basis (reported plus owner compensation) against budget</t>
        </is>
      </c>
      <c r="G23" s="12">
        <f>(Inputs!$D$32+Inputs!$C$37)/Inputs!$C$38-1</f>
        <v/>
      </c>
    </row>
    <row r="25">
      <c r="B25" s="2" t="inlineStr">
        <is>
          <t>LOI enterprise value (multiple x CIM figure)</t>
        </is>
      </c>
      <c r="E25" s="9">
        <f>Inputs!$C$47*E19</f>
        <v/>
      </c>
    </row>
    <row r="26">
      <c r="B26" s="2" t="inlineStr">
        <is>
          <t>Agreed enterprise value</t>
        </is>
      </c>
      <c r="E26" s="9">
        <f>Inputs!$C$48</f>
        <v/>
      </c>
    </row>
    <row r="27">
      <c r="B27" s="2" t="inlineStr">
        <is>
          <t>Agreed EV / diligence-adjusted FY2025</t>
        </is>
      </c>
      <c r="E27" s="13">
        <f>E26/E14</f>
        <v/>
      </c>
    </row>
    <row r="28">
      <c r="B28" s="2" t="inlineStr">
        <is>
          <t>Agreed EV / CIM figure</t>
        </is>
      </c>
      <c r="E28" s="13">
        <f>E26/E19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2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2" customWidth="1" min="3" max="3"/>
    <col width="12" customWidth="1" min="4" max="4"/>
    <col width="12" customWidth="1" min="5" max="5"/>
  </cols>
  <sheetData>
    <row r="1" ht="10" customHeight="1"/>
    <row r="2">
      <c r="B2" s="1" t="inlineStr">
        <is>
          <t>Revenue quality ($ million)</t>
        </is>
      </c>
      <c r="C2" s="3" t="n"/>
      <c r="D2" s="3" t="n"/>
      <c r="E2" s="3" t="n"/>
    </row>
    <row r="4">
      <c r="B4" s="5" t="inlineStr"/>
      <c r="C4" s="5" t="inlineStr">
        <is>
          <t>FY2023</t>
        </is>
      </c>
      <c r="D4" s="5" t="inlineStr">
        <is>
          <t>FY2024</t>
        </is>
      </c>
      <c r="E4" s="5" t="inlineStr">
        <is>
          <t>FY2025</t>
        </is>
      </c>
    </row>
    <row r="5">
      <c r="B5" s="2" t="inlineStr">
        <is>
          <t>Revenue</t>
        </is>
      </c>
      <c r="C5" s="9">
        <f>Inputs!$C$7</f>
        <v/>
      </c>
      <c r="D5" s="9">
        <f>Inputs!$D$7</f>
        <v/>
      </c>
      <c r="E5" s="9">
        <f>Inputs!$E$7</f>
        <v/>
      </c>
    </row>
    <row r="6">
      <c r="B6" s="2" t="inlineStr">
        <is>
          <t>Growth</t>
        </is>
      </c>
      <c r="D6" s="12">
        <f>D5/C5-1</f>
        <v/>
      </c>
      <c r="E6" s="12">
        <f>E5/D5-1</f>
        <v/>
      </c>
    </row>
    <row r="7">
      <c r="B7" s="2" t="inlineStr">
        <is>
          <t>Gross margin</t>
        </is>
      </c>
      <c r="C7" s="12">
        <f>Inputs!$C$8/C5</f>
        <v/>
      </c>
      <c r="D7" s="12">
        <f>Inputs!$D$8/D5</f>
        <v/>
      </c>
      <c r="E7" s="12">
        <f>Inputs!$E$8/E5</f>
        <v/>
      </c>
    </row>
    <row r="9">
      <c r="B9" s="2" t="inlineStr">
        <is>
          <t>FY2025 segments: labels</t>
        </is>
      </c>
      <c r="E9" s="9">
        <f>Inputs!$C$41</f>
        <v/>
      </c>
    </row>
    <row r="10">
      <c r="B10" s="2" t="inlineStr">
        <is>
          <t>FY2025 segments: flexible packaging</t>
        </is>
      </c>
      <c r="E10" s="9">
        <f>Inputs!$D$41</f>
        <v/>
      </c>
    </row>
    <row r="11">
      <c r="B11" s="2" t="inlineStr">
        <is>
          <t>Segments minus revenue (should be 0)</t>
        </is>
      </c>
      <c r="E11" s="9">
        <f>E9+E10-E5</f>
        <v/>
      </c>
    </row>
    <row r="13">
      <c r="B13" s="2" t="inlineStr">
        <is>
          <t>FY2025 growth: price</t>
        </is>
      </c>
      <c r="E13" s="9">
        <f>Inputs!$C$42</f>
        <v/>
      </c>
    </row>
    <row r="14">
      <c r="B14" s="2" t="inlineStr">
        <is>
          <t>FY2025 growth: volume and mix</t>
        </is>
      </c>
      <c r="E14" s="9">
        <f>Inputs!$D$42</f>
        <v/>
      </c>
    </row>
    <row r="15">
      <c r="B15" s="2" t="inlineStr">
        <is>
          <t>Price plus volume minus growth (should be 0)</t>
        </is>
      </c>
      <c r="E15" s="9">
        <f>E13+E14-(E5-D5)</f>
        <v/>
      </c>
    </row>
    <row r="17">
      <c r="B17" s="2" t="inlineStr">
        <is>
          <t>Largest customer, share of revenue</t>
        </is>
      </c>
      <c r="E17" s="12">
        <f>Inputs!$C$43/E5</f>
        <v/>
      </c>
    </row>
    <row r="18">
      <c r="B18" s="2" t="inlineStr">
        <is>
          <t>Top ten customers, share of revenue</t>
        </is>
      </c>
      <c r="E18" s="12">
        <f>Inputs!$D$43/E5</f>
        <v/>
      </c>
    </row>
    <row r="20">
      <c r="B20" s="2" t="inlineStr">
        <is>
          <t>Days: receivables</t>
        </is>
      </c>
      <c r="E20" s="14">
        <f>Inputs!$C$44</f>
        <v/>
      </c>
    </row>
    <row r="21">
      <c r="B21" s="2" t="inlineStr">
        <is>
          <t>Days: inventory</t>
        </is>
      </c>
      <c r="E21" s="14">
        <f>Inputs!$D$44</f>
        <v/>
      </c>
    </row>
    <row r="22">
      <c r="B22" s="2" t="inlineStr">
        <is>
          <t>Days: payables</t>
        </is>
      </c>
      <c r="E22" s="14">
        <f>Inputs!$E$44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E2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0" customWidth="1" min="2" max="2"/>
    <col width="12" customWidth="1" min="3" max="3"/>
    <col width="10" customWidth="1" min="4" max="4"/>
    <col width="12" customWidth="1" min="5" max="5"/>
  </cols>
  <sheetData>
    <row r="1" ht="10" customHeight="1"/>
    <row r="2">
      <c r="B2" s="1" t="inlineStr">
        <is>
          <t>Net debt and debt-like items at 31 March 2026 ($ million)</t>
        </is>
      </c>
      <c r="C2" s="3" t="n"/>
      <c r="D2" s="3" t="n"/>
      <c r="E2" s="3" t="n"/>
    </row>
    <row r="4">
      <c r="B4" s="5" t="inlineStr">
        <is>
          <t>Item</t>
        </is>
      </c>
      <c r="C4" s="5" t="inlineStr">
        <is>
          <t>Amount</t>
        </is>
      </c>
      <c r="D4" s="5" t="inlineStr">
        <is>
          <t>Agreed</t>
        </is>
      </c>
      <c r="E4" s="5" t="inlineStr">
        <is>
          <t>In bridge</t>
        </is>
      </c>
    </row>
    <row r="5">
      <c r="B5" s="2" t="inlineStr">
        <is>
          <t>Term loan</t>
        </is>
      </c>
      <c r="C5" s="9">
        <f>Inputs!$C$51</f>
        <v/>
      </c>
    </row>
    <row r="6">
      <c r="B6" s="2" t="inlineStr">
        <is>
          <t>Revolver</t>
        </is>
      </c>
      <c r="C6" s="9">
        <f>Inputs!$C$52</f>
        <v/>
      </c>
    </row>
    <row r="7">
      <c r="B7" s="2" t="inlineStr">
        <is>
          <t>Finance leases</t>
        </is>
      </c>
      <c r="C7" s="9">
        <f>Inputs!$C$53</f>
        <v/>
      </c>
    </row>
    <row r="8">
      <c r="B8" s="2" t="inlineStr">
        <is>
          <t>Cash (bank less outstanding checks)</t>
        </is>
      </c>
      <c r="C8" s="9">
        <f>Inputs!$C$54-Inputs!$C$55</f>
        <v/>
      </c>
    </row>
    <row r="9">
      <c r="B9" s="10" t="inlineStr">
        <is>
          <t>Reported net debt</t>
        </is>
      </c>
      <c r="C9" s="11">
        <f>C5+C6+C7-C8</f>
        <v/>
      </c>
    </row>
    <row r="11">
      <c r="B11" s="2">
        <f>Inputs!$B$57</f>
        <v/>
      </c>
      <c r="C11" s="9">
        <f>Inputs!$C$57</f>
        <v/>
      </c>
      <c r="D11" s="14">
        <f>Inputs!$D$57</f>
        <v/>
      </c>
      <c r="E11" s="9">
        <f>C11*D11</f>
        <v/>
      </c>
    </row>
    <row r="12">
      <c r="B12" s="2">
        <f>Inputs!$B$58</f>
        <v/>
      </c>
      <c r="C12" s="9">
        <f>Inputs!$C$58</f>
        <v/>
      </c>
      <c r="D12" s="14">
        <f>Inputs!$D$58</f>
        <v/>
      </c>
      <c r="E12" s="9">
        <f>C12*D12</f>
        <v/>
      </c>
    </row>
    <row r="13">
      <c r="B13" s="2">
        <f>Inputs!$B$59</f>
        <v/>
      </c>
      <c r="C13" s="9">
        <f>Inputs!$C$59</f>
        <v/>
      </c>
      <c r="D13" s="14">
        <f>Inputs!$D$59</f>
        <v/>
      </c>
      <c r="E13" s="9">
        <f>C13*D13</f>
        <v/>
      </c>
    </row>
    <row r="14">
      <c r="B14" s="2">
        <f>Inputs!$B$60</f>
        <v/>
      </c>
      <c r="C14" s="9">
        <f>Inputs!$C$60</f>
        <v/>
      </c>
      <c r="D14" s="14">
        <f>Inputs!$D$60</f>
        <v/>
      </c>
      <c r="E14" s="9">
        <f>C14*D14</f>
        <v/>
      </c>
    </row>
    <row r="15">
      <c r="B15" s="2">
        <f>Inputs!$B$61</f>
        <v/>
      </c>
      <c r="C15" s="9">
        <f>Inputs!$C$61</f>
        <v/>
      </c>
      <c r="D15" s="14">
        <f>Inputs!$D$61</f>
        <v/>
      </c>
      <c r="E15" s="9">
        <f>C15*D15</f>
        <v/>
      </c>
    </row>
    <row r="16">
      <c r="B16" s="2">
        <f>Inputs!$B$62</f>
        <v/>
      </c>
      <c r="C16" s="9">
        <f>Inputs!$C$62</f>
        <v/>
      </c>
      <c r="D16" s="14">
        <f>Inputs!$D$62</f>
        <v/>
      </c>
      <c r="E16" s="9">
        <f>C16*D16</f>
        <v/>
      </c>
    </row>
    <row r="17">
      <c r="B17" s="2">
        <f>Inputs!$B$63</f>
        <v/>
      </c>
      <c r="C17" s="9">
        <f>Inputs!$C$63</f>
        <v/>
      </c>
      <c r="D17" s="14">
        <f>Inputs!$D$63</f>
        <v/>
      </c>
      <c r="E17" s="9">
        <f>C17*D17</f>
        <v/>
      </c>
    </row>
    <row r="18">
      <c r="B18" s="4" t="inlineStr">
        <is>
          <t>Debt-like items proposed</t>
        </is>
      </c>
      <c r="C18" s="9">
        <f>SUM(C11:C17)</f>
        <v/>
      </c>
    </row>
    <row r="19">
      <c r="B19" s="4" t="inlineStr">
        <is>
          <t>Debt-like items agreed</t>
        </is>
      </c>
      <c r="E19" s="9">
        <f>SUM(E11:E17)</f>
        <v/>
      </c>
    </row>
    <row r="20">
      <c r="B20" s="10" t="inlineStr">
        <is>
          <t>Adjusted net debt</t>
        </is>
      </c>
      <c r="C20" s="11">
        <f>C9+E19</f>
        <v/>
      </c>
    </row>
    <row r="21">
      <c r="B21" s="2" t="inlineStr">
        <is>
          <t>Operating lease liabilities (shown, not deducted)</t>
        </is>
      </c>
      <c r="C21" s="9">
        <f>Inputs!$C$64</f>
        <v/>
      </c>
    </row>
    <row r="23">
      <c r="B23" s="4" t="inlineStr">
        <is>
          <t>Illustrative equity bridge</t>
        </is>
      </c>
    </row>
    <row r="24">
      <c r="B24" s="2" t="inlineStr">
        <is>
          <t>Enterprise value</t>
        </is>
      </c>
      <c r="C24" s="9">
        <f>Inputs!$C$48</f>
        <v/>
      </c>
    </row>
    <row r="25">
      <c r="B25" s="2" t="inlineStr">
        <is>
          <t>less bank debt</t>
        </is>
      </c>
      <c r="C25" s="9">
        <f>-(C5+C6)</f>
        <v/>
      </c>
    </row>
    <row r="26">
      <c r="B26" s="2" t="inlineStr">
        <is>
          <t>less finance leases</t>
        </is>
      </c>
      <c r="C26" s="9">
        <f>-C7</f>
        <v/>
      </c>
    </row>
    <row r="27">
      <c r="B27" s="2" t="inlineStr">
        <is>
          <t>plus cash</t>
        </is>
      </c>
      <c r="C27" s="9">
        <f>C8</f>
        <v/>
      </c>
    </row>
    <row r="28">
      <c r="B28" s="2" t="inlineStr">
        <is>
          <t>less agreed debt-like items</t>
        </is>
      </c>
      <c r="C28" s="9">
        <f>-E19</f>
        <v/>
      </c>
    </row>
    <row r="29">
      <c r="B29" s="10" t="inlineStr">
        <is>
          <t>Equity value before working capital adjustment</t>
        </is>
      </c>
      <c r="C29" s="11">
        <f>SUM(C24:C28)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F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10" customHeight="1"/>
    <row r="2">
      <c r="B2" s="1" t="inlineStr">
        <is>
          <t>Net working capital, month-end ($ million)</t>
        </is>
      </c>
      <c r="C2" s="3" t="n"/>
      <c r="D2" s="3" t="n"/>
      <c r="E2" s="3" t="n"/>
      <c r="F2" s="3" t="n"/>
    </row>
    <row r="4">
      <c r="B4" s="5" t="inlineStr">
        <is>
          <t>Month</t>
        </is>
      </c>
      <c r="C4" s="5" t="inlineStr">
        <is>
          <t>Reported</t>
        </is>
      </c>
      <c r="D4" s="5" t="inlineStr">
        <is>
          <t>Rebates</t>
        </is>
      </c>
      <c r="E4" s="5" t="inlineStr">
        <is>
          <t>Reserve</t>
        </is>
      </c>
      <c r="F4" s="5" t="inlineStr">
        <is>
          <t>Adjusted</t>
        </is>
      </c>
    </row>
    <row r="5">
      <c r="B5" s="2">
        <f>Inputs!$B$68</f>
        <v/>
      </c>
      <c r="C5" s="9">
        <f>Inputs!$C$68</f>
        <v/>
      </c>
      <c r="D5" s="9">
        <f>Inputs!$D$68</f>
        <v/>
      </c>
      <c r="E5" s="9">
        <f>Inputs!$E$68</f>
        <v/>
      </c>
      <c r="F5" s="9">
        <f>C5+D5+E5</f>
        <v/>
      </c>
    </row>
    <row r="6">
      <c r="B6" s="2">
        <f>Inputs!$B$69</f>
        <v/>
      </c>
      <c r="C6" s="9">
        <f>Inputs!$C$69</f>
        <v/>
      </c>
      <c r="D6" s="9">
        <f>Inputs!$D$69</f>
        <v/>
      </c>
      <c r="E6" s="9">
        <f>Inputs!$E$69</f>
        <v/>
      </c>
      <c r="F6" s="9">
        <f>C6+D6+E6</f>
        <v/>
      </c>
    </row>
    <row r="7">
      <c r="B7" s="2">
        <f>Inputs!$B$70</f>
        <v/>
      </c>
      <c r="C7" s="9">
        <f>Inputs!$C$70</f>
        <v/>
      </c>
      <c r="D7" s="9">
        <f>Inputs!$D$70</f>
        <v/>
      </c>
      <c r="E7" s="9">
        <f>Inputs!$E$70</f>
        <v/>
      </c>
      <c r="F7" s="9">
        <f>C7+D7+E7</f>
        <v/>
      </c>
    </row>
    <row r="8">
      <c r="B8" s="2">
        <f>Inputs!$B$71</f>
        <v/>
      </c>
      <c r="C8" s="9">
        <f>Inputs!$C$71</f>
        <v/>
      </c>
      <c r="D8" s="9">
        <f>Inputs!$D$71</f>
        <v/>
      </c>
      <c r="E8" s="9">
        <f>Inputs!$E$71</f>
        <v/>
      </c>
      <c r="F8" s="9">
        <f>C8+D8+E8</f>
        <v/>
      </c>
    </row>
    <row r="9">
      <c r="B9" s="2">
        <f>Inputs!$B$72</f>
        <v/>
      </c>
      <c r="C9" s="9">
        <f>Inputs!$C$72</f>
        <v/>
      </c>
      <c r="D9" s="9">
        <f>Inputs!$D$72</f>
        <v/>
      </c>
      <c r="E9" s="9">
        <f>Inputs!$E$72</f>
        <v/>
      </c>
      <c r="F9" s="9">
        <f>C9+D9+E9</f>
        <v/>
      </c>
    </row>
    <row r="10">
      <c r="B10" s="2">
        <f>Inputs!$B$73</f>
        <v/>
      </c>
      <c r="C10" s="9">
        <f>Inputs!$C$73</f>
        <v/>
      </c>
      <c r="D10" s="9">
        <f>Inputs!$D$73</f>
        <v/>
      </c>
      <c r="E10" s="9">
        <f>Inputs!$E$73</f>
        <v/>
      </c>
      <c r="F10" s="9">
        <f>C10+D10+E10</f>
        <v/>
      </c>
    </row>
    <row r="11">
      <c r="B11" s="2">
        <f>Inputs!$B$74</f>
        <v/>
      </c>
      <c r="C11" s="9">
        <f>Inputs!$C$74</f>
        <v/>
      </c>
      <c r="D11" s="9">
        <f>Inputs!$D$74</f>
        <v/>
      </c>
      <c r="E11" s="9">
        <f>Inputs!$E$74</f>
        <v/>
      </c>
      <c r="F11" s="9">
        <f>C11+D11+E11</f>
        <v/>
      </c>
    </row>
    <row r="12">
      <c r="B12" s="2">
        <f>Inputs!$B$75</f>
        <v/>
      </c>
      <c r="C12" s="9">
        <f>Inputs!$C$75</f>
        <v/>
      </c>
      <c r="D12" s="9">
        <f>Inputs!$D$75</f>
        <v/>
      </c>
      <c r="E12" s="9">
        <f>Inputs!$E$75</f>
        <v/>
      </c>
      <c r="F12" s="9">
        <f>C12+D12+E12</f>
        <v/>
      </c>
    </row>
    <row r="13">
      <c r="B13" s="2">
        <f>Inputs!$B$76</f>
        <v/>
      </c>
      <c r="C13" s="9">
        <f>Inputs!$C$76</f>
        <v/>
      </c>
      <c r="D13" s="9">
        <f>Inputs!$D$76</f>
        <v/>
      </c>
      <c r="E13" s="9">
        <f>Inputs!$E$76</f>
        <v/>
      </c>
      <c r="F13" s="9">
        <f>C13+D13+E13</f>
        <v/>
      </c>
    </row>
    <row r="14">
      <c r="B14" s="2">
        <f>Inputs!$B$77</f>
        <v/>
      </c>
      <c r="C14" s="9">
        <f>Inputs!$C$77</f>
        <v/>
      </c>
      <c r="D14" s="9">
        <f>Inputs!$D$77</f>
        <v/>
      </c>
      <c r="E14" s="9">
        <f>Inputs!$E$77</f>
        <v/>
      </c>
      <c r="F14" s="9">
        <f>C14+D14+E14</f>
        <v/>
      </c>
    </row>
    <row r="15">
      <c r="B15" s="2">
        <f>Inputs!$B$78</f>
        <v/>
      </c>
      <c r="C15" s="9">
        <f>Inputs!$C$78</f>
        <v/>
      </c>
      <c r="D15" s="9">
        <f>Inputs!$D$78</f>
        <v/>
      </c>
      <c r="E15" s="9">
        <f>Inputs!$E$78</f>
        <v/>
      </c>
      <c r="F15" s="9">
        <f>C15+D15+E15</f>
        <v/>
      </c>
    </row>
    <row r="16">
      <c r="B16" s="2">
        <f>Inputs!$B$79</f>
        <v/>
      </c>
      <c r="C16" s="9">
        <f>Inputs!$C$79</f>
        <v/>
      </c>
      <c r="D16" s="9">
        <f>Inputs!$D$79</f>
        <v/>
      </c>
      <c r="E16" s="9">
        <f>Inputs!$E$79</f>
        <v/>
      </c>
      <c r="F16" s="9">
        <f>C16+D16+E16</f>
        <v/>
      </c>
    </row>
    <row r="18">
      <c r="B18" s="4" t="inlineStr">
        <is>
          <t>12-month average</t>
        </is>
      </c>
      <c r="C18" s="9">
        <f>AVERAGE(C5:C16)</f>
        <v/>
      </c>
      <c r="F18" s="9">
        <f>AVERAGE(F5:F16)</f>
        <v/>
      </c>
    </row>
    <row r="20">
      <c r="B20" s="2" t="inlineStr">
        <is>
          <t>Seller's peg (six-month adjusted average, Oct-25 to Mar-26)</t>
        </is>
      </c>
      <c r="F20" s="9">
        <f>AVERAGE(F11:F16)</f>
        <v/>
      </c>
    </row>
    <row r="21">
      <c r="B21" s="2" t="inlineStr">
        <is>
          <t>Analysis (twelve-month adjusted average)</t>
        </is>
      </c>
      <c r="F21" s="9">
        <f>F18</f>
        <v/>
      </c>
    </row>
    <row r="22">
      <c r="B22" s="10" t="inlineStr">
        <is>
          <t>Agreed peg</t>
        </is>
      </c>
      <c r="F22" s="11">
        <f>Inputs!$C$80</f>
        <v/>
      </c>
    </row>
    <row r="23">
      <c r="B23" s="2" t="inlineStr">
        <is>
          <t>High month (adjusted)</t>
        </is>
      </c>
      <c r="F23" s="9">
        <f>MAX(F5:F16)</f>
        <v/>
      </c>
    </row>
    <row r="24">
      <c r="B24" s="2" t="inlineStr">
        <is>
          <t>Low month (adjusted)</t>
        </is>
      </c>
      <c r="F24" s="9">
        <f>MIN(F5:F16)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2" customWidth="1" min="3" max="3"/>
    <col width="12" customWidth="1" min="4" max="4"/>
  </cols>
  <sheetData>
    <row r="1" ht="10" customHeight="1"/>
    <row r="2">
      <c r="B2" s="1" t="inlineStr">
        <is>
          <t>Closing statements, 30 June 2026 ($ million)</t>
        </is>
      </c>
      <c r="C2" s="3" t="n"/>
      <c r="D2" s="3" t="n"/>
    </row>
    <row r="4">
      <c r="B4" s="5" t="inlineStr"/>
      <c r="C4" s="5" t="inlineStr">
        <is>
          <t>Estimate</t>
        </is>
      </c>
      <c r="D4" s="5" t="inlineStr">
        <is>
          <t>Final</t>
        </is>
      </c>
    </row>
    <row r="5">
      <c r="B5" s="2" t="inlineStr">
        <is>
          <t>Enterprise value</t>
        </is>
      </c>
      <c r="C5" s="9">
        <f>Inputs!$C$48</f>
        <v/>
      </c>
      <c r="D5" s="9">
        <f>Inputs!$C$48</f>
        <v/>
      </c>
    </row>
    <row r="6">
      <c r="B6" s="2" t="inlineStr">
        <is>
          <t>less bank debt repaid</t>
        </is>
      </c>
      <c r="C6" s="9">
        <f>-Inputs!$C$83</f>
        <v/>
      </c>
      <c r="D6" s="9">
        <f>-Inputs!$C$83</f>
        <v/>
      </c>
    </row>
    <row r="7">
      <c r="B7" s="2" t="inlineStr">
        <is>
          <t>less finance leases</t>
        </is>
      </c>
      <c r="C7" s="9">
        <f>-Inputs!$C$84</f>
        <v/>
      </c>
      <c r="D7" s="9">
        <f>-Inputs!$C$84</f>
        <v/>
      </c>
    </row>
    <row r="8">
      <c r="B8" s="2" t="inlineStr">
        <is>
          <t>plus cash</t>
        </is>
      </c>
      <c r="C8" s="9">
        <f>Inputs!$C$86</f>
        <v/>
      </c>
      <c r="D8" s="9">
        <f>Inputs!$D$86</f>
        <v/>
      </c>
    </row>
    <row r="9">
      <c r="B9" s="2" t="inlineStr">
        <is>
          <t>less debt-like items</t>
        </is>
      </c>
      <c r="C9" s="9">
        <f>-Inputs!$C$85</f>
        <v/>
      </c>
      <c r="D9" s="9">
        <f>-Inputs!$C$85</f>
        <v/>
      </c>
    </row>
    <row r="10">
      <c r="B10" s="2" t="inlineStr">
        <is>
          <t>Working capital</t>
        </is>
      </c>
      <c r="C10" s="9">
        <f>Inputs!$C$87</f>
        <v/>
      </c>
      <c r="D10" s="9">
        <f>Inputs!$D$87</f>
        <v/>
      </c>
    </row>
    <row r="11">
      <c r="B11" s="2" t="inlineStr">
        <is>
          <t>Peg</t>
        </is>
      </c>
      <c r="C11" s="9">
        <f>Inputs!$C$80</f>
        <v/>
      </c>
      <c r="D11" s="9">
        <f>Inputs!$C$80</f>
        <v/>
      </c>
    </row>
    <row r="12">
      <c r="B12" s="2" t="inlineStr">
        <is>
          <t>Working capital adjustment</t>
        </is>
      </c>
      <c r="C12" s="9">
        <f>C10-C11</f>
        <v/>
      </c>
      <c r="D12" s="9">
        <f>D10-D11</f>
        <v/>
      </c>
    </row>
    <row r="14">
      <c r="B14" s="10" t="inlineStr">
        <is>
          <t>Equity price</t>
        </is>
      </c>
      <c r="C14" s="11">
        <f>C5+C6+C7+C8+C9+C12</f>
        <v/>
      </c>
      <c r="D14" s="11">
        <f>D5+D6+D7+D8+D9+D12</f>
        <v/>
      </c>
    </row>
    <row r="16">
      <c r="B16" s="4" t="inlineStr">
        <is>
          <t>Buyer's claim (estimate minus final)</t>
        </is>
      </c>
      <c r="C16" s="9">
        <f>C14-D14</f>
        <v/>
      </c>
    </row>
    <row r="17">
      <c r="B17" s="2" t="inlineStr">
        <is>
          <t>Adjustment escrow</t>
        </is>
      </c>
      <c r="C17" s="9">
        <f>Inputs!$C$88</f>
        <v/>
      </c>
    </row>
    <row r="18">
      <c r="B18" s="2" t="inlineStr">
        <is>
          <t>Claim within the escrow?</t>
        </is>
      </c>
      <c r="C18" s="2">
        <f>IF(C16&lt;=C17,"Yes","No")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E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2" customWidth="1" min="3" max="3"/>
    <col width="12" customWidth="1" min="4" max="4"/>
    <col width="12" customWidth="1" min="5" max="5"/>
  </cols>
  <sheetData>
    <row r="1" ht="10" customHeight="1"/>
    <row r="2">
      <c r="B2" s="1" t="inlineStr">
        <is>
          <t>Capex and cash conversion ($ million)</t>
        </is>
      </c>
      <c r="C2" s="3" t="n"/>
      <c r="D2" s="3" t="n"/>
      <c r="E2" s="3" t="n"/>
    </row>
    <row r="4">
      <c r="B4" s="5" t="inlineStr"/>
      <c r="C4" s="5" t="inlineStr">
        <is>
          <t>FY2023</t>
        </is>
      </c>
      <c r="D4" s="5" t="inlineStr">
        <is>
          <t>FY2024</t>
        </is>
      </c>
      <c r="E4" s="5" t="inlineStr">
        <is>
          <t>FY2025</t>
        </is>
      </c>
    </row>
    <row r="5">
      <c r="B5" s="2" t="inlineStr">
        <is>
          <t>Diligence-adjusted EBITDA</t>
        </is>
      </c>
      <c r="C5" s="9">
        <f>QoE!C14</f>
        <v/>
      </c>
      <c r="D5" s="9">
        <f>QoE!D14</f>
        <v/>
      </c>
      <c r="E5" s="9">
        <f>QoE!E14</f>
        <v/>
      </c>
    </row>
    <row r="6">
      <c r="B6" s="2" t="inlineStr">
        <is>
          <t>Capital expenditure</t>
        </is>
      </c>
      <c r="C6" s="9">
        <f>Inputs!$C$91</f>
        <v/>
      </c>
      <c r="D6" s="9">
        <f>Inputs!$D$91</f>
        <v/>
      </c>
      <c r="E6" s="9">
        <f>Inputs!$E$91</f>
        <v/>
      </c>
    </row>
    <row r="7">
      <c r="B7" s="2" t="inlineStr">
        <is>
          <t>of which growth</t>
        </is>
      </c>
      <c r="C7" s="9">
        <f>Inputs!$C$92</f>
        <v/>
      </c>
      <c r="D7" s="9">
        <f>Inputs!$D$92</f>
        <v/>
      </c>
      <c r="E7" s="9">
        <f>Inputs!$E$92</f>
        <v/>
      </c>
    </row>
    <row r="8">
      <c r="B8" s="2" t="inlineStr">
        <is>
          <t>Maintenance capex</t>
        </is>
      </c>
      <c r="C8" s="9">
        <f>C6-C7</f>
        <v/>
      </c>
      <c r="D8" s="9">
        <f>D6-D7</f>
        <v/>
      </c>
      <c r="E8" s="9">
        <f>E6-E7</f>
        <v/>
      </c>
    </row>
    <row r="9">
      <c r="B9" s="2" t="inlineStr">
        <is>
          <t>Cash conversion (all capex)</t>
        </is>
      </c>
      <c r="C9" s="12">
        <f>(C5-C6)/C5</f>
        <v/>
      </c>
      <c r="D9" s="12">
        <f>(D5-D6)/D5</f>
        <v/>
      </c>
      <c r="E9" s="12">
        <f>(E5-E6)/E5</f>
        <v/>
      </c>
    </row>
    <row r="10">
      <c r="B10" s="2" t="inlineStr">
        <is>
          <t>Cash conversion (maintenance capex)</t>
        </is>
      </c>
      <c r="C10" s="12">
        <f>(C5-C8)/C5</f>
        <v/>
      </c>
      <c r="D10" s="12">
        <f>(D5-D8)/D5</f>
        <v/>
      </c>
      <c r="E10" s="12">
        <f>(E5-E8)/E5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E4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2" customWidth="1" min="3" max="3"/>
    <col width="12" customWidth="1" min="4" max="4"/>
    <col width="10" customWidth="1" min="5" max="5"/>
  </cols>
  <sheetData>
    <row r="1" ht="10" customHeight="1"/>
    <row r="2">
      <c r="B2" s="1" t="inlineStr">
        <is>
          <t>Checks: book figures against formulas</t>
        </is>
      </c>
      <c r="C2" s="3" t="n"/>
      <c r="D2" s="3" t="n"/>
      <c r="E2" s="3" t="n"/>
    </row>
    <row r="4">
      <c r="B4" s="5" t="inlineStr">
        <is>
          <t>Figure printed in the book</t>
        </is>
      </c>
      <c r="C4" s="5" t="inlineStr">
        <is>
          <t>Book</t>
        </is>
      </c>
      <c r="D4" s="5" t="inlineStr">
        <is>
          <t>Workbook</t>
        </is>
      </c>
      <c r="E4" s="5" t="inlineStr">
        <is>
          <t>Status</t>
        </is>
      </c>
    </row>
    <row r="5">
      <c r="B5" s="2" t="inlineStr">
        <is>
          <t>Diligence-adjusted EBITDA FY2023</t>
        </is>
      </c>
      <c r="C5" s="9" t="n">
        <v>19.4</v>
      </c>
      <c r="D5" s="9">
        <f>ROUND(QoE!C14,1)</f>
        <v/>
      </c>
      <c r="E5" s="2">
        <f>IF(ABS(D5-C5)&lt;0.001,"OK","CHECK")</f>
        <v/>
      </c>
    </row>
    <row r="6">
      <c r="B6" s="2" t="inlineStr">
        <is>
          <t>Diligence-adjusted EBITDA FY2024</t>
        </is>
      </c>
      <c r="C6" s="9" t="n">
        <v>20.8</v>
      </c>
      <c r="D6" s="9">
        <f>ROUND(QoE!D14,1)</f>
        <v/>
      </c>
      <c r="E6" s="2">
        <f>IF(ABS(D6-C6)&lt;0.001,"OK","CHECK")</f>
        <v/>
      </c>
    </row>
    <row r="7">
      <c r="B7" s="2" t="inlineStr">
        <is>
          <t>Diligence-adjusted EBITDA FY2025</t>
        </is>
      </c>
      <c r="C7" s="9" t="n">
        <v>21.4</v>
      </c>
      <c r="D7" s="9">
        <f>ROUND(QoE!E14,1)</f>
        <v/>
      </c>
      <c r="E7" s="2">
        <f>IF(ABS(D7-C7)&lt;0.001,"OK","CHECK")</f>
        <v/>
      </c>
    </row>
    <row r="8">
      <c r="B8" s="2" t="inlineStr">
        <is>
          <t>Q1 2025 adjusted</t>
        </is>
      </c>
      <c r="C8" s="9" t="n">
        <v>4.7</v>
      </c>
      <c r="D8" s="9">
        <f>ROUND(QoE!F14,1)</f>
        <v/>
      </c>
      <c r="E8" s="2">
        <f>IF(ABS(D8-C8)&lt;0.001,"OK","CHECK")</f>
        <v/>
      </c>
    </row>
    <row r="9">
      <c r="B9" s="2" t="inlineStr">
        <is>
          <t>Q1 2026 adjusted</t>
        </is>
      </c>
      <c r="C9" s="9" t="n">
        <v>5.4</v>
      </c>
      <c r="D9" s="9">
        <f>ROUND(QoE!G14,1)</f>
        <v/>
      </c>
      <c r="E9" s="2">
        <f>IF(ABS(D9-C9)&lt;0.001,"OK","CHECK")</f>
        <v/>
      </c>
    </row>
    <row r="10">
      <c r="B10" s="2" t="inlineStr">
        <is>
          <t>LTM March 2026 adjusted</t>
        </is>
      </c>
      <c r="C10" s="9" t="n">
        <v>22.1</v>
      </c>
      <c r="D10" s="9">
        <f>ROUND(QoE!H14,1)</f>
        <v/>
      </c>
      <c r="E10" s="2">
        <f>IF(ABS(D10-C10)&lt;0.001,"OK","CHECK")</f>
        <v/>
      </c>
    </row>
    <row r="11">
      <c r="B11" s="2" t="inlineStr">
        <is>
          <t>Management adjustments accepted FY2025</t>
        </is>
      </c>
      <c r="C11" s="9" t="n">
        <v>1.5</v>
      </c>
      <c r="D11" s="9">
        <f>ROUND(QoE!E16,1)</f>
        <v/>
      </c>
      <c r="E11" s="2">
        <f>IF(ABS(D11-C11)&lt;0.001,"OK","CHECK")</f>
        <v/>
      </c>
    </row>
    <row r="12">
      <c r="B12" s="2" t="inlineStr">
        <is>
          <t>Diligence adjustments FY2025</t>
        </is>
      </c>
      <c r="C12" s="9" t="n">
        <v>-1.9</v>
      </c>
      <c r="D12" s="9">
        <f>ROUND(QoE!E17,1)</f>
        <v/>
      </c>
      <c r="E12" s="2">
        <f>IF(ABS(D12-C12)&lt;0.001,"OK","CHECK")</f>
        <v/>
      </c>
    </row>
    <row r="13">
      <c r="B13" s="2" t="inlineStr">
        <is>
          <t>CIM Adjusted EBITDA</t>
        </is>
      </c>
      <c r="C13" s="9" t="n">
        <v>24</v>
      </c>
      <c r="D13" s="9">
        <f>ROUND(QoE!E19,1)</f>
        <v/>
      </c>
      <c r="E13" s="2">
        <f>IF(ABS(D13-C13)&lt;0.001,"OK","CHECK")</f>
        <v/>
      </c>
    </row>
    <row r="14">
      <c r="B14" s="2" t="inlineStr">
        <is>
          <t>Sell-side QoE</t>
        </is>
      </c>
      <c r="C14" s="9" t="n">
        <v>23.1</v>
      </c>
      <c r="D14" s="9">
        <f>ROUND(QoE!E20,1)</f>
        <v/>
      </c>
      <c r="E14" s="2">
        <f>IF(ABS(D14-C14)&lt;0.001,"OK","CHECK")</f>
        <v/>
      </c>
    </row>
    <row r="15">
      <c r="B15" s="2" t="inlineStr">
        <is>
          <t>Gap to the CIM</t>
        </is>
      </c>
      <c r="C15" s="9" t="n">
        <v>2.6</v>
      </c>
      <c r="D15" s="9">
        <f>ROUND(QoE!E21,1)</f>
        <v/>
      </c>
      <c r="E15" s="2">
        <f>IF(ABS(D15-C15)&lt;0.001,"OK","CHECK")</f>
        <v/>
      </c>
    </row>
    <row r="16">
      <c r="B16" s="2" t="inlineStr">
        <is>
          <t>Gap to the sell-side QoE</t>
        </is>
      </c>
      <c r="C16" s="9" t="n">
        <v>1.7</v>
      </c>
      <c r="D16" s="9">
        <f>ROUND(QoE!E22,1)</f>
        <v/>
      </c>
      <c r="E16" s="2">
        <f>IF(ABS(D16-C16)&lt;0.001,"OK","CHECK")</f>
        <v/>
      </c>
    </row>
    <row r="17">
      <c r="B17" s="2" t="inlineStr">
        <is>
          <t>LOI enterprise value</t>
        </is>
      </c>
      <c r="C17" s="9" t="n">
        <v>216</v>
      </c>
      <c r="D17" s="9">
        <f>ROUND(QoE!E25,1)</f>
        <v/>
      </c>
      <c r="E17" s="2">
        <f>IF(ABS(D17-C17)&lt;0.001,"OK","CHECK")</f>
        <v/>
      </c>
    </row>
    <row r="18">
      <c r="B18" s="2" t="inlineStr">
        <is>
          <t>Agreed EV multiple of adjusted EBITDA</t>
        </is>
      </c>
      <c r="C18" s="9" t="n">
        <v>9.5</v>
      </c>
      <c r="D18" s="9">
        <f>ROUND(QoE!E27,1)</f>
        <v/>
      </c>
      <c r="E18" s="2">
        <f>IF(ABS(D18-C18)&lt;0.001,"OK","CHECK")</f>
        <v/>
      </c>
    </row>
    <row r="19">
      <c r="B19" s="2" t="inlineStr">
        <is>
          <t>Agreed EV multiple of the CIM figure</t>
        </is>
      </c>
      <c r="C19" s="9" t="n">
        <v>8.5</v>
      </c>
      <c r="D19" s="9">
        <f>ROUND(QoE!E28,1)</f>
        <v/>
      </c>
      <c r="E19" s="2">
        <f>IF(ABS(D19-C19)&lt;0.001,"OK","CHECK")</f>
        <v/>
      </c>
    </row>
    <row r="20">
      <c r="B20" s="2" t="inlineStr">
        <is>
          <t>Q1 2026 against budget, management basis (percent)</t>
        </is>
      </c>
      <c r="C20" s="14" t="n">
        <v>-2</v>
      </c>
      <c r="D20" s="14">
        <f>ROUND(QoE!G23*100,0)</f>
        <v/>
      </c>
      <c r="E20" s="2">
        <f>IF(ABS(D20-C20)&lt;0.001,"OK","CHECK")</f>
        <v/>
      </c>
    </row>
    <row r="21">
      <c r="B21" s="2" t="inlineStr">
        <is>
          <t>Largest customer share (percent)</t>
        </is>
      </c>
      <c r="C21" s="9" t="n">
        <v>14</v>
      </c>
      <c r="D21" s="9">
        <f>ROUND(Revenue!E17*100,1)</f>
        <v/>
      </c>
      <c r="E21" s="2">
        <f>IF(ABS(D21-C21)&lt;0.001,"OK","CHECK")</f>
        <v/>
      </c>
    </row>
    <row r="22">
      <c r="B22" s="2" t="inlineStr">
        <is>
          <t>Top ten share (percent)</t>
        </is>
      </c>
      <c r="C22" s="9" t="n">
        <v>52</v>
      </c>
      <c r="D22" s="9">
        <f>ROUND(Revenue!E18*100,1)</f>
        <v/>
      </c>
      <c r="E22" s="2">
        <f>IF(ABS(D22-C22)&lt;0.001,"OK","CHECK")</f>
        <v/>
      </c>
    </row>
    <row r="23">
      <c r="B23" s="2" t="inlineStr">
        <is>
          <t>Segments reconcile</t>
        </is>
      </c>
      <c r="C23" s="9" t="n">
        <v>0</v>
      </c>
      <c r="D23" s="9">
        <f>ROUND(Revenue!E11,1)</f>
        <v/>
      </c>
      <c r="E23" s="2">
        <f>IF(ABS(D23-C23)&lt;0.001,"OK","CHECK")</f>
        <v/>
      </c>
    </row>
    <row r="24">
      <c r="B24" s="2" t="inlineStr">
        <is>
          <t>Price and volume reconcile</t>
        </is>
      </c>
      <c r="C24" s="9" t="n">
        <v>0</v>
      </c>
      <c r="D24" s="9">
        <f>ROUND(Revenue!E15,1)</f>
        <v/>
      </c>
      <c r="E24" s="2">
        <f>IF(ABS(D24-C24)&lt;0.001,"OK","CHECK")</f>
        <v/>
      </c>
    </row>
    <row r="25">
      <c r="B25" s="2" t="inlineStr">
        <is>
          <t>Reported net debt</t>
        </is>
      </c>
      <c r="C25" s="9" t="n">
        <v>34.4</v>
      </c>
      <c r="D25" s="9">
        <f>ROUND('Net Debt'!C9,1)</f>
        <v/>
      </c>
      <c r="E25" s="2">
        <f>IF(ABS(D25-C25)&lt;0.001,"OK","CHECK")</f>
        <v/>
      </c>
    </row>
    <row r="26">
      <c r="B26" s="2" t="inlineStr">
        <is>
          <t>Debt-like proposed</t>
        </is>
      </c>
      <c r="C26" s="9" t="n">
        <v>9.9</v>
      </c>
      <c r="D26" s="9">
        <f>ROUND('Net Debt'!C18,1)</f>
        <v/>
      </c>
      <c r="E26" s="2">
        <f>IF(ABS(D26-C26)&lt;0.001,"OK","CHECK")</f>
        <v/>
      </c>
    </row>
    <row r="27">
      <c r="B27" s="2" t="inlineStr">
        <is>
          <t>Debt-like agreed</t>
        </is>
      </c>
      <c r="C27" s="9" t="n">
        <v>7.6</v>
      </c>
      <c r="D27" s="9">
        <f>ROUND('Net Debt'!E19,1)</f>
        <v/>
      </c>
      <c r="E27" s="2">
        <f>IF(ABS(D27-C27)&lt;0.001,"OK","CHECK")</f>
        <v/>
      </c>
    </row>
    <row r="28">
      <c r="B28" s="2" t="inlineStr">
        <is>
          <t>Adjusted net debt</t>
        </is>
      </c>
      <c r="C28" s="9" t="n">
        <v>42</v>
      </c>
      <c r="D28" s="9">
        <f>ROUND('Net Debt'!C20,1)</f>
        <v/>
      </c>
      <c r="E28" s="2">
        <f>IF(ABS(D28-C28)&lt;0.001,"OK","CHECK")</f>
        <v/>
      </c>
    </row>
    <row r="29">
      <c r="B29" s="2" t="inlineStr">
        <is>
          <t>Equity bridge at 31 March 2026</t>
        </is>
      </c>
      <c r="C29" s="9" t="n">
        <v>162</v>
      </c>
      <c r="D29" s="9">
        <f>ROUND('Net Debt'!C29,1)</f>
        <v/>
      </c>
      <c r="E29" s="2">
        <f>IF(ABS(D29-C29)&lt;0.001,"OK","CHECK")</f>
        <v/>
      </c>
    </row>
    <row r="30">
      <c r="B30" s="2" t="inlineStr">
        <is>
          <t>NWC average reported</t>
        </is>
      </c>
      <c r="C30" s="9" t="n">
        <v>30.6</v>
      </c>
      <c r="D30" s="9">
        <f>ROUND(NWC!C18,1)</f>
        <v/>
      </c>
      <c r="E30" s="2">
        <f>IF(ABS(D30-C30)&lt;0.001,"OK","CHECK")</f>
        <v/>
      </c>
    </row>
    <row r="31">
      <c r="B31" s="2" t="inlineStr">
        <is>
          <t>NWC average adjusted</t>
        </is>
      </c>
      <c r="C31" s="9" t="n">
        <v>29</v>
      </c>
      <c r="D31" s="9">
        <f>ROUND(NWC!F18,1)</f>
        <v/>
      </c>
      <c r="E31" s="2">
        <f>IF(ABS(D31-C31)&lt;0.001,"OK","CHECK")</f>
        <v/>
      </c>
    </row>
    <row r="32">
      <c r="B32" s="2" t="inlineStr">
        <is>
          <t>Seller's peg</t>
        </is>
      </c>
      <c r="C32" s="9" t="n">
        <v>27.2</v>
      </c>
      <c r="D32" s="9">
        <f>ROUND(NWC!F20,1)</f>
        <v/>
      </c>
      <c r="E32" s="2">
        <f>IF(ABS(D32-C32)&lt;0.001,"OK","CHECK")</f>
        <v/>
      </c>
    </row>
    <row r="33">
      <c r="B33" s="2" t="inlineStr">
        <is>
          <t>Agreed peg</t>
        </is>
      </c>
      <c r="C33" s="9" t="n">
        <v>28.4</v>
      </c>
      <c r="D33" s="9">
        <f>ROUND(NWC!F22,1)</f>
        <v/>
      </c>
      <c r="E33" s="2">
        <f>IF(ABS(D33-C33)&lt;0.001,"OK","CHECK")</f>
        <v/>
      </c>
    </row>
    <row r="34">
      <c r="B34" s="2" t="inlineStr">
        <is>
          <t>Estimated equity price</t>
        </is>
      </c>
      <c r="C34" s="9" t="n">
        <v>171.7</v>
      </c>
      <c r="D34" s="9">
        <f>ROUND(Closing!C14,1)</f>
        <v/>
      </c>
      <c r="E34" s="2">
        <f>IF(ABS(D34-C34)&lt;0.001,"OK","CHECK")</f>
        <v/>
      </c>
    </row>
    <row r="35">
      <c r="B35" s="2" t="inlineStr">
        <is>
          <t>Final equity price</t>
        </is>
      </c>
      <c r="C35" s="9" t="n">
        <v>170.7</v>
      </c>
      <c r="D35" s="9">
        <f>ROUND(Closing!D14,1)</f>
        <v/>
      </c>
      <c r="E35" s="2">
        <f>IF(ABS(D35-C35)&lt;0.001,"OK","CHECK")</f>
        <v/>
      </c>
    </row>
    <row r="36">
      <c r="B36" s="2" t="inlineStr">
        <is>
          <t>Buyer's claim</t>
        </is>
      </c>
      <c r="C36" s="9" t="n">
        <v>1</v>
      </c>
      <c r="D36" s="9">
        <f>ROUND(Closing!C16,1)</f>
        <v/>
      </c>
      <c r="E36" s="2">
        <f>IF(ABS(D36-C36)&lt;0.001,"OK","CHECK")</f>
        <v/>
      </c>
    </row>
    <row r="37">
      <c r="B37" s="2" t="inlineStr">
        <is>
          <t>Cash conversion FY2025 (percent)</t>
        </is>
      </c>
      <c r="C37" s="9" t="n">
        <v>44.4</v>
      </c>
      <c r="D37" s="9">
        <f>ROUND(Capex!E9*100,1)</f>
        <v/>
      </c>
      <c r="E37" s="2">
        <f>IF(ABS(D37-C37)&lt;0.001,"OK","CHECK")</f>
        <v/>
      </c>
    </row>
    <row r="38">
      <c r="B38" s="2" t="inlineStr">
        <is>
          <t>Cash conversion on maintenance (percent)</t>
        </is>
      </c>
      <c r="C38" s="9" t="n">
        <v>68.7</v>
      </c>
      <c r="D38" s="9">
        <f>ROUND(Capex!E10*100,1)</f>
        <v/>
      </c>
      <c r="E38" s="2">
        <f>IF(ABS(D38-C38)&lt;0.001,"OK","CHECK")</f>
        <v/>
      </c>
    </row>
    <row r="40">
      <c r="B40" s="10" t="inlineStr">
        <is>
          <t>Overall</t>
        </is>
      </c>
      <c r="E40" s="10">
        <f>IF(COUNTIF(E5:E38,"OK")=34,"ALL CHECKS OK","CHECK")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Julian R. Sterling</dc:creator>
  <dc:title xmlns:dc="http://purl.org/dc/elements/1.1/">The Financial Due Diligence Associate: companion workbook</dc:title>
  <dcterms:created xmlns:dcterms="http://purl.org/dc/terms/" xmlns:xsi="http://www.w3.org/2001/XMLSchema-instance" xsi:type="dcterms:W3CDTF">2026-10-15T21:37:33Z</dcterms:created>
  <dcterms:modified xmlns:dcterms="http://purl.org/dc/terms/" xmlns:xsi="http://www.w3.org/2001/XMLSchema-instance" xsi:type="dcterms:W3CDTF">2026-10-15T21:37:33Z</dcterms:modified>
</cp:coreProperties>
</file>