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um of the Parts" sheetId="2" state="visible" r:id="rId4"/>
    <sheet name="Liquidation Floor" sheetId="3" state="visible" r:id="rId5"/>
    <sheet name="Two Grounds" sheetId="4" state="visible" r:id="rId6"/>
    <sheet name="Diligence Checklist" sheetId="5" state="visible" r:id="rId7"/>
    <sheet name="Check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<sst xmlns="http://schemas.openxmlformats.org/spreadsheetml/2006/main" count="222" uniqueCount="171">
  <si>
    <t xml:space="preserve">The Distressed Debt Investor — Valuation, the Liquidation Floor and Diligence</t>
  </si>
  <si>
    <t xml:space="preserve">Companion workbook to Chapters 8 and 14 and Appendix A of "The Distressed Debt Investor" by Julian R. Sterling. Free, ungated, and yours to reuse.</t>
  </si>
  <si>
    <t xml:space="preserve">Sheets</t>
  </si>
  <si>
    <t xml:space="preserve">Sum of the Parts</t>
  </si>
  <si>
    <t xml:space="preserve">      The mid-market industrial company in Chapter 8, valued segment by segment on conservative multiples rather than a blended peak multiple on the whole. "The weak segment gets trough earnings and a trough multiple."</t>
  </si>
  <si>
    <t xml:space="preserve">Liquidation Floor</t>
  </si>
  <si>
    <t xml:space="preserve">      The independent floor built in the same chapter, and what it does to the first lien's safety. "The term loan at 80 is protected on two independent grounds."</t>
  </si>
  <si>
    <t xml:space="preserve">Two Grounds</t>
  </si>
  <si>
    <t xml:space="preserve">      Both tranches across both scenarios, side by side. This is the layered answer the chapter says a single fuzzy enterprise-value estimate cannot give you.</t>
  </si>
  <si>
    <t xml:space="preserve">Diligence Checklist</t>
  </si>
  <si>
    <t xml:space="preserve">      The six sections of Appendix A, as a working document with a status, an owner and a place for the answer.</t>
  </si>
  <si>
    <t xml:space="preserve">Checks</t>
  </si>
  <si>
    <t xml:space="preserve">      Every figure Chapter 8 prints, against what this workbook computes.</t>
  </si>
  <si>
    <t xml:space="preserve">Blue on yellow is an input. Black is a formula. Green links to another sheet. Nothing is hard-coded to force the book's answer — clear the inputs and the model empties out instead of lying to you.</t>
  </si>
  <si>
    <t xml:space="preserve">Source: The Distressed Debt Investor, Chapters 8 and 14 and Appendix A. All figures in $ millions.</t>
  </si>
  <si>
    <t xml:space="preserve">Sum of the parts, conservatively</t>
  </si>
  <si>
    <t xml:space="preserve">"You value each segment on a conservative multiple appropriate to its quality, not a blended peak multiple on the whole." The packaging segment is stable and gets a fair multiple on normalised earnings. The components segment is the problem and gets trough earnings and a trough multiple — the common mistake applied in reverse.</t>
  </si>
  <si>
    <t xml:space="preserve">Capital structure</t>
  </si>
  <si>
    <t xml:space="preserve">Face</t>
  </si>
  <si>
    <t xml:space="preserve">Market price (cents)</t>
  </si>
  <si>
    <t xml:space="preserve">Source</t>
  </si>
  <si>
    <t xml:space="preserve">First-lien secured term loan</t>
  </si>
  <si>
    <t xml:space="preserve">8 — "a first-lien secured term loan of $400 million... the term loan around 80 cents"</t>
  </si>
  <si>
    <t xml:space="preserve">Senior unsecured notes</t>
  </si>
  <si>
    <t xml:space="preserve">8 — "senior unsecured notes of $300 million... the notes around 35 cents"</t>
  </si>
  <si>
    <t xml:space="preserve">Total funded debt</t>
  </si>
  <si>
    <t xml:space="preserve">8 — "Total funded debt is $700 million"</t>
  </si>
  <si>
    <t xml:space="preserve">Going-concern, segment by segment</t>
  </si>
  <si>
    <t xml:space="preserve">Segment</t>
  </si>
  <si>
    <t xml:space="preserve">Earnings applied</t>
  </si>
  <si>
    <t xml:space="preserve">Multiple</t>
  </si>
  <si>
    <t xml:space="preserve">Value</t>
  </si>
  <si>
    <t xml:space="preserve">Why this multiple</t>
  </si>
  <si>
    <t xml:space="preserve">Packaging — stable, cash-generative</t>
  </si>
  <si>
    <t xml:space="preserve">8 — "roughly 6.5 times to the healthy packaging segment's $70 million, giving about $455 million"</t>
  </si>
  <si>
    <t xml:space="preserve">Components — cyclical, capital-hungry</t>
  </si>
  <si>
    <t xml:space="preserve">8 — "valuing it at roughly 4 times a conservative $20 million, or about $80 million". Trough earnings, trough multiple.</t>
  </si>
  <si>
    <t xml:space="preserve">Sum-of-the-parts enterprise value</t>
  </si>
  <si>
    <t xml:space="preserve">8 — "about $535 million"</t>
  </si>
  <si>
    <t xml:space="preserve">Range — low</t>
  </si>
  <si>
    <t xml:space="preserve">8 — "say $480 million to $600 million"</t>
  </si>
  <si>
    <t xml:space="preserve">Range — high</t>
  </si>
  <si>
    <t xml:space="preserve">What the components segment would be worth at mid-cycle</t>
  </si>
  <si>
    <t xml:space="preserve">8 — the chapter refuses this: "$30 million mid-cycle" on a generous multiple. Shown only so the refusal is visible.</t>
  </si>
  <si>
    <t xml:space="preserve">Test the stack at the low end of the range</t>
  </si>
  <si>
    <t xml:space="preserve">Tranche</t>
  </si>
  <si>
    <t xml:space="preserve">Value reaching it</t>
  </si>
  <si>
    <t xml:space="preserve">Recovery (cents)</t>
  </si>
  <si>
    <t xml:space="preserve">Against the market price</t>
  </si>
  <si>
    <t xml:space="preserve">What the chapter says</t>
  </si>
  <si>
    <t xml:space="preserve">8 — "fully covered; it recovers par in this case, consistent with a price in the 80s"</t>
  </si>
  <si>
    <t xml:space="preserve">8 — "The remaining $80 million of value flows to the $300 million of unsecured notes, implying a recovery around 27 cents"</t>
  </si>
  <si>
    <t xml:space="preserve">Equity</t>
  </si>
  <si>
    <t xml:space="preserve">8 — "The equity is out of the money."</t>
  </si>
  <si>
    <t xml:space="preserve">"So far the market price looks about right, which is itself a useful finding: it tells you the edge, if any, is in the range and the process, not in a mispriced screaming bargain."</t>
  </si>
  <si>
    <t xml:space="preserve">The floor, built independently</t>
  </si>
  <si>
    <t xml:space="preserve">"Now build the floor independently, because the term loan's safety should not depend on the business reorganizing successfully."</t>
  </si>
  <si>
    <t xml:space="preserve">Orderly-liquidation value</t>
  </si>
  <si>
    <t xml:space="preserve">Real estate and equipment</t>
  </si>
  <si>
    <t xml:space="preserve">8 — "an orderly-liquidation value of about $220 million"</t>
  </si>
  <si>
    <t xml:space="preserve">Inventory, after markdowns</t>
  </si>
  <si>
    <t xml:space="preserve">8 — "inventory that would realize roughly $90 million after markdowns"</t>
  </si>
  <si>
    <t xml:space="preserve">Receivables, as collected</t>
  </si>
  <si>
    <t xml:space="preserve">8 — "receivables that collect at about $70 million"</t>
  </si>
  <si>
    <t xml:space="preserve">Gross asset proceeds</t>
  </si>
  <si>
    <t xml:space="preserve">8 — "roughly $380 million"</t>
  </si>
  <si>
    <t xml:space="preserve">Wind-down costs</t>
  </si>
  <si>
    <t xml:space="preserve">8 — "professional fees, employee and priority claims, and administrative expenses — of, say, $50 million"</t>
  </si>
  <si>
    <t xml:space="preserve">Net liquidation proceeds</t>
  </si>
  <si>
    <t xml:space="preserve">8 — "about $330 million. That $330 million is your floor."</t>
  </si>
  <si>
    <t xml:space="preserve">What the floor does to each tranche</t>
  </si>
  <si>
    <t xml:space="preserve">Recovery in liquidation</t>
  </si>
  <si>
    <t xml:space="preserve">8 — "the $400 million first-lien claim recovers roughly 83 cents even if the business is worth nothing as a going concern"</t>
  </si>
  <si>
    <t xml:space="preserve">8 — "The unsecured notes... recover essentially nothing in liquidation"</t>
  </si>
  <si>
    <t xml:space="preserve">"The 35-cent price on the notes is a bet that the company reorganizes rather than liquidates, and that the going-concern value is real. That is a very different risk than the term loan, even though both are distressed debt of the same issuer."</t>
  </si>
  <si>
    <t xml:space="preserve">The layered answer</t>
  </si>
  <si>
    <t xml:space="preserve">"Notice what the floor did. It converted a single fuzzy enterprise-value estimate into a layered answer: a senior tranche covered in both scenarios, and a junior tranche that lives or dies on the going concern."</t>
  </si>
  <si>
    <t xml:space="preserve">Going concern, low end</t>
  </si>
  <si>
    <t xml:space="preserve">Going concern, mid</t>
  </si>
  <si>
    <t xml:space="preserve">Liquidation</t>
  </si>
  <si>
    <t xml:space="preserve">Market price</t>
  </si>
  <si>
    <t xml:space="preserve">Read</t>
  </si>
  <si>
    <t xml:space="preserve">Note</t>
  </si>
  <si>
    <t xml:space="preserve">Spread between the going-concern range ends</t>
  </si>
  <si>
    <t xml:space="preserve">The width of the range is the analysis, not a caveat on it.</t>
  </si>
  <si>
    <t xml:space="preserve">First lien — worst case across both scenarios</t>
  </si>
  <si>
    <t xml:space="preserve">Chapter 8: "protected on two independent grounds".</t>
  </si>
  <si>
    <t xml:space="preserve">First lien — upside from the market price</t>
  </si>
  <si>
    <t xml:space="preserve">Unsecured notes — worst case across both scenarios</t>
  </si>
  <si>
    <t xml:space="preserve">Unsecured notes — swing between the two scenarios</t>
  </si>
  <si>
    <t xml:space="preserve">The whole value of the claim sits in this gap.</t>
  </si>
  <si>
    <t xml:space="preserve">Going-concern value at which the notes break even</t>
  </si>
  <si>
    <t xml:space="preserve">Below this the 35-cent price is a loss, however the reorganisation goes.</t>
  </si>
  <si>
    <t xml:space="preserve">The distressed diligence checklist — Appendix A</t>
  </si>
  <si>
    <t xml:space="preserve">"A scaffold, not a substitute for judgment. Adapt it to the situation, the seniority of your tranche, and the jurisdiction. A checklist followed mechanically is as dangerous as none."</t>
  </si>
  <si>
    <t xml:space="preserve">#</t>
  </si>
  <si>
    <t xml:space="preserve">Question</t>
  </si>
  <si>
    <t xml:space="preserve">Status</t>
  </si>
  <si>
    <t xml:space="preserve">Owner</t>
  </si>
  <si>
    <t xml:space="preserve">Your answer</t>
  </si>
  <si>
    <t xml:space="preserve">The situation and the thesis</t>
  </si>
  <si>
    <t xml:space="preserve">Why is this security distressed, and why now? Liquidity problem or solvency problem?</t>
  </si>
  <si>
    <t xml:space="preserve">Open</t>
  </si>
  <si>
    <t xml:space="preserve">Is this a good business with a bad balance sheet, or a bad business?</t>
  </si>
  <si>
    <t xml:space="preserve">What is the catalyst — maturity, missed coupon, covenant breach, downgrade — and what is the expected timeline?</t>
  </si>
  <si>
    <t xml:space="preserve">What is the market implying at current cents-on-the-dollar prices about where value breaks?</t>
  </si>
  <si>
    <t xml:space="preserve">The capital structure</t>
  </si>
  <si>
    <t xml:space="preserve">Complete, correct capital-structure map: every tranche, size, coupon, maturity, security and guarantors.</t>
  </si>
  <si>
    <t xml:space="preserve">Where do the assets sit relative to the debt — opco against holdco, structural subordination?</t>
  </si>
  <si>
    <t xml:space="preserve">What does the intercreditor agreement say about lien priority and enforcement?</t>
  </si>
  <si>
    <t xml:space="preserve">Which tranche is the likely fulcrum under your enterprise-value estimate?</t>
  </si>
  <si>
    <t xml:space="preserve">The documents</t>
  </si>
  <si>
    <t xml:space="preserve">Collateral and guarantee coverage for your tranche — what actually secures you?</t>
  </si>
  <si>
    <t xml:space="preserve">Covenant package: incurrence against maintenance; baskets and flexibility; restricted against unrestricted subsidiaries.</t>
  </si>
  <si>
    <t xml:space="preserve">Asset-transfer, drop-down, priming and uptier risk: can value or liens be moved away from you?</t>
  </si>
  <si>
    <t xml:space="preserve">Voting and amendment thresholds: what majority can bind you, and do you need a blocking position?</t>
  </si>
  <si>
    <t xml:space="preserve">Change-of-control, cross-default and acceleration provisions.</t>
  </si>
  <si>
    <t xml:space="preserve">Valuation and recovery</t>
  </si>
  <si>
    <t xml:space="preserve">Conservative enterprise-value range: going concern and liquidation floor.</t>
  </si>
  <si>
    <t xml:space="preserve">Trough earnings normalised, and peak multiples on trough numbers avoided.</t>
  </si>
  <si>
    <t xml:space="preserve">Recovery on your tranche across base, bear and bull scenarios.</t>
  </si>
  <si>
    <t xml:space="preserve">Administrative and professional-fee leakage and any new-money or DIP priority subtracted.</t>
  </si>
  <si>
    <t xml:space="preserve">Recoveries discounted for expected duration — the IRR, not just the headline recovery.</t>
  </si>
  <si>
    <t xml:space="preserve">Form of recovery — cash, new debt, new equity, warrants — and how the non-cash portion was valued.</t>
  </si>
  <si>
    <t xml:space="preserve">Process and control</t>
  </si>
  <si>
    <t xml:space="preserve">Out of court or in court? What consent thresholds are required?</t>
  </si>
  <si>
    <t xml:space="preserve">Is there an ad hoc group, can you join, and what is the blocking dynamic?</t>
  </si>
  <si>
    <t xml:space="preserve">Do you have a real fulcrum or blocking position, or only a thesis about control?</t>
  </si>
  <si>
    <t xml:space="preserve">Litigation, MNPI and the public-against-private divide, and compliance considerations addressed.</t>
  </si>
  <si>
    <t xml:space="preserve">Portfolio fit</t>
  </si>
  <si>
    <t xml:space="preserve">How does this size against your single-name and concentration limits?</t>
  </si>
  <si>
    <t xml:space="preserve">Is it correlated with the rest of the book — same cycle, same sector?</t>
  </si>
  <si>
    <t xml:space="preserve">Liquidity: can you hold it through a long, messy process?</t>
  </si>
  <si>
    <t xml:space="preserve">What is the loss if you are wrong about where value breaks?</t>
  </si>
  <si>
    <t xml:space="preserve">Count</t>
  </si>
  <si>
    <t xml:space="preserve">Answered</t>
  </si>
  <si>
    <t xml:space="preserve">Answered without anything written down</t>
  </si>
  <si>
    <t xml:space="preserve">An answer you did not write down is a memory, not diligence.</t>
  </si>
  <si>
    <t xml:space="preserve">Percentage complete</t>
  </si>
  <si>
    <t xml:space="preserve">Ready to size the position</t>
  </si>
  <si>
    <t xml:space="preserve">Every figure Chapter 8 prints, against what this workbook computes.</t>
  </si>
  <si>
    <t xml:space="preserve">Test</t>
  </si>
  <si>
    <t xml:space="preserve">Book</t>
  </si>
  <si>
    <t xml:space="preserve">This workbook</t>
  </si>
  <si>
    <t xml:space="preserve">Packaging segment value</t>
  </si>
  <si>
    <t xml:space="preserve">8 — "about $455 million"</t>
  </si>
  <si>
    <t xml:space="preserve">Components segment value</t>
  </si>
  <si>
    <t xml:space="preserve">8 — "about $80 million"</t>
  </si>
  <si>
    <t xml:space="preserve">First lien recovery at the low end of the range</t>
  </si>
  <si>
    <t xml:space="preserve">8 — "fully covered; it recovers par in this case"</t>
  </si>
  <si>
    <t xml:space="preserve">Value flowing to the unsecured notes</t>
  </si>
  <si>
    <t xml:space="preserve">8 — "The remaining $80 million of value"</t>
  </si>
  <si>
    <t xml:space="preserve">Unsecured recovery at the low end</t>
  </si>
  <si>
    <t xml:space="preserve">8 — "implying a recovery around 27 cents"</t>
  </si>
  <si>
    <t xml:space="preserve">Gross asset proceeds in liquidation</t>
  </si>
  <si>
    <t xml:space="preserve">8 — "Gross asset proceeds are roughly $380 million"</t>
  </si>
  <si>
    <t xml:space="preserve">8 — "Net liquidation proceeds are about $330 million"</t>
  </si>
  <si>
    <t xml:space="preserve">First lien recovery in liquidation</t>
  </si>
  <si>
    <t xml:space="preserve">8 — "recovers roughly 83 cents"</t>
  </si>
  <si>
    <t xml:space="preserve">Unsecured recovery in liquidation</t>
  </si>
  <si>
    <t xml:space="preserve">8 — "recover essentially nothing in liquidation"</t>
  </si>
  <si>
    <t xml:space="preserve">Internal consistency</t>
  </si>
  <si>
    <t xml:space="preserve">Expected</t>
  </si>
  <si>
    <t xml:space="preserve">Computed</t>
  </si>
  <si>
    <t xml:space="preserve">The first lien is covered on both grounds</t>
  </si>
  <si>
    <t xml:space="preserve">Par in the going concern, low 80s in liquidation.</t>
  </si>
  <si>
    <t xml:space="preserve">The unsecured notes are not</t>
  </si>
  <si>
    <t xml:space="preserve">Zero in liquidation. The whole claim is a going-concern bet.</t>
  </si>
  <si>
    <t xml:space="preserve">Sum of the parts sits inside the stated range</t>
  </si>
  <si>
    <t xml:space="preserve">Segment values sum to the total</t>
  </si>
  <si>
    <t xml:space="preserve">All checks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</si>
</sst>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;\(#,##0\);\-"/>
    <numFmt numFmtId="166" formatCode="0.0%;\(0.0%\);\-"/>
    <numFmt numFmtId="167" formatCode="0.00\x"/>
    <numFmt numFmtId="168" formatCode="\$#,##0;&quot;($&quot;#,##0\);\-"/>
    <numFmt numFmtId="169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EDF2F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F2F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4"/>
  </cols>
  <sheetData>
    <row r="2" customFormat="false" ht="17.35" hidden="false" customHeight="false" outlineLevel="0" collapsed="false">
      <c r="B2" s="1" t="s">
        <v>0</v>
      </c>
    </row>
    <row r="4" customFormat="false" ht="23.85" hidden="false" customHeight="false" outlineLevel="0" collapsed="false">
      <c r="B4" s="2" t="s">
        <v>1</v>
      </c>
    </row>
    <row r="6" customFormat="false" ht="15" hidden="false" customHeight="false" outlineLevel="0" collapsed="false">
      <c r="B6" s="3" t="s">
        <v>2</v>
      </c>
    </row>
    <row r="7" customFormat="false" ht="15" hidden="false" customHeight="false" outlineLevel="0" collapsed="false">
      <c r="B7" s="4" t="s">
        <v>3</v>
      </c>
    </row>
    <row r="8" customFormat="false" ht="23.85" hidden="false" customHeight="false" outlineLevel="0" collapsed="false">
      <c r="B8" s="2" t="s">
        <v>4</v>
      </c>
    </row>
    <row r="9" customFormat="false" ht="15" hidden="false" customHeight="false" outlineLevel="0" collapsed="false">
      <c r="B9" s="4" t="s">
        <v>5</v>
      </c>
    </row>
    <row r="10" customFormat="false" ht="23.8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4" t="s">
        <v>7</v>
      </c>
    </row>
    <row r="12" customFormat="false" ht="23.8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4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4" t="s">
        <v>11</v>
      </c>
    </row>
    <row r="16" customFormat="false" ht="15" hidden="false" customHeight="false" outlineLevel="0" collapsed="false">
      <c r="B16" s="2" t="s">
        <v>12</v>
      </c>
    </row>
    <row r="18" customFormat="false" ht="22.35" hidden="false" customHeight="false" outlineLevel="0" collapsed="false">
      <c r="B18" s="5" t="s">
        <v>13</v>
      </c>
    </row>
    <row r="20" customFormat="false" ht="15" hidden="false" customHeight="false" outlineLevel="0" collapsed="false">
      <c r="B20" s="5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6"/>
    <col collapsed="false" customWidth="true" hidden="false" outlineLevel="0" max="6" min="3" style="0" width="15"/>
    <col collapsed="false" customWidth="true" hidden="false" outlineLevel="0" max="7" min="7" style="0" width="54"/>
  </cols>
  <sheetData>
    <row r="2" customFormat="false" ht="32.8" hidden="false" customHeight="false" outlineLevel="0" collapsed="false">
      <c r="B2" s="1" t="s">
        <v>15</v>
      </c>
    </row>
    <row r="4" customFormat="false" ht="39.75" hidden="false" customHeight="true" outlineLevel="0" collapsed="false">
      <c r="B4" s="6" t="s">
        <v>16</v>
      </c>
      <c r="C4" s="6"/>
      <c r="D4" s="6"/>
      <c r="E4" s="6"/>
      <c r="F4" s="6"/>
      <c r="G4" s="6"/>
    </row>
    <row r="6" customFormat="false" ht="15" hidden="false" customHeight="false" outlineLevel="0" collapsed="false">
      <c r="B6" s="3" t="s">
        <v>17</v>
      </c>
    </row>
    <row r="7" customFormat="false" ht="27.75" hidden="false" customHeight="true" outlineLevel="0" collapsed="false">
      <c r="B7" s="7"/>
      <c r="C7" s="7" t="s">
        <v>18</v>
      </c>
      <c r="D7" s="7" t="s">
        <v>19</v>
      </c>
      <c r="G7" s="7" t="s">
        <v>20</v>
      </c>
    </row>
    <row r="8" customFormat="false" ht="22.35" hidden="false" customHeight="false" outlineLevel="0" collapsed="false">
      <c r="B8" s="8" t="s">
        <v>21</v>
      </c>
      <c r="C8" s="9" t="n">
        <v>400</v>
      </c>
      <c r="D8" s="10" t="n">
        <v>0.8</v>
      </c>
      <c r="G8" s="5" t="s">
        <v>22</v>
      </c>
    </row>
    <row r="9" customFormat="false" ht="22.35" hidden="false" customHeight="false" outlineLevel="0" collapsed="false">
      <c r="B9" s="8" t="s">
        <v>23</v>
      </c>
      <c r="C9" s="9" t="n">
        <v>300</v>
      </c>
      <c r="D9" s="10" t="n">
        <v>0.35</v>
      </c>
      <c r="G9" s="5" t="s">
        <v>24</v>
      </c>
    </row>
    <row r="10" customFormat="false" ht="15" hidden="false" customHeight="false" outlineLevel="0" collapsed="false">
      <c r="B10" s="11" t="s">
        <v>25</v>
      </c>
      <c r="C10" s="12" t="n">
        <f aca="false">SUM(C8:C9)</f>
        <v>700</v>
      </c>
      <c r="D10" s="13"/>
      <c r="G10" s="5" t="s">
        <v>26</v>
      </c>
    </row>
    <row r="12" customFormat="false" ht="26.85" hidden="false" customHeight="false" outlineLevel="0" collapsed="false">
      <c r="B12" s="3" t="s">
        <v>27</v>
      </c>
    </row>
    <row r="13" customFormat="false" ht="27.75" hidden="false" customHeight="true" outlineLevel="0" collapsed="false">
      <c r="B13" s="7" t="s">
        <v>28</v>
      </c>
      <c r="C13" s="7" t="s">
        <v>29</v>
      </c>
      <c r="D13" s="7" t="s">
        <v>30</v>
      </c>
      <c r="E13" s="7" t="s">
        <v>31</v>
      </c>
      <c r="G13" s="7" t="s">
        <v>32</v>
      </c>
    </row>
    <row r="14" customFormat="false" ht="22.35" hidden="false" customHeight="false" outlineLevel="0" collapsed="false">
      <c r="B14" s="8" t="s">
        <v>33</v>
      </c>
      <c r="C14" s="9" t="n">
        <v>70</v>
      </c>
      <c r="D14" s="14" t="n">
        <v>6.5</v>
      </c>
      <c r="E14" s="15" t="n">
        <f aca="false">C14*D14</f>
        <v>455</v>
      </c>
      <c r="G14" s="5" t="s">
        <v>34</v>
      </c>
    </row>
    <row r="15" customFormat="false" ht="22.35" hidden="false" customHeight="false" outlineLevel="0" collapsed="false">
      <c r="B15" s="8" t="s">
        <v>35</v>
      </c>
      <c r="C15" s="9" t="n">
        <v>20</v>
      </c>
      <c r="D15" s="14" t="n">
        <v>4</v>
      </c>
      <c r="E15" s="15" t="n">
        <f aca="false">C15*D15</f>
        <v>80</v>
      </c>
      <c r="G15" s="5" t="s">
        <v>36</v>
      </c>
    </row>
    <row r="16" customFormat="false" ht="15" hidden="false" customHeight="false" outlineLevel="0" collapsed="false">
      <c r="B16" s="11" t="s">
        <v>37</v>
      </c>
      <c r="C16" s="13"/>
      <c r="D16" s="13"/>
      <c r="E16" s="12" t="n">
        <f aca="false">SUM(E14:E15)</f>
        <v>535</v>
      </c>
      <c r="G16" s="5" t="s">
        <v>38</v>
      </c>
    </row>
    <row r="17" customFormat="false" ht="15" hidden="false" customHeight="false" outlineLevel="0" collapsed="false">
      <c r="B17" s="8" t="s">
        <v>39</v>
      </c>
      <c r="E17" s="9" t="n">
        <v>480</v>
      </c>
      <c r="G17" s="5" t="s">
        <v>40</v>
      </c>
    </row>
    <row r="18" customFormat="false" ht="15" hidden="false" customHeight="false" outlineLevel="0" collapsed="false">
      <c r="B18" s="8" t="s">
        <v>41</v>
      </c>
      <c r="E18" s="9" t="n">
        <v>600</v>
      </c>
    </row>
    <row r="19" customFormat="false" ht="22.35" hidden="false" customHeight="false" outlineLevel="0" collapsed="false">
      <c r="B19" s="8" t="s">
        <v>42</v>
      </c>
      <c r="E19" s="15" t="n">
        <f aca="false">30*6</f>
        <v>180</v>
      </c>
      <c r="G19" s="5" t="s">
        <v>43</v>
      </c>
    </row>
    <row r="21" customFormat="false" ht="26.85" hidden="false" customHeight="false" outlineLevel="0" collapsed="false">
      <c r="B21" s="3" t="s">
        <v>44</v>
      </c>
    </row>
    <row r="22" customFormat="false" ht="27.75" hidden="false" customHeight="true" outlineLevel="0" collapsed="false">
      <c r="B22" s="7" t="s">
        <v>45</v>
      </c>
      <c r="C22" s="7" t="s">
        <v>46</v>
      </c>
      <c r="D22" s="7" t="s">
        <v>47</v>
      </c>
      <c r="E22" s="7" t="s">
        <v>48</v>
      </c>
      <c r="G22" s="7" t="s">
        <v>49</v>
      </c>
    </row>
    <row r="23" customFormat="false" ht="22.35" hidden="false" customHeight="false" outlineLevel="0" collapsed="false">
      <c r="B23" s="8" t="s">
        <v>21</v>
      </c>
      <c r="C23" s="15" t="n">
        <f aca="false">$E$17</f>
        <v>480</v>
      </c>
      <c r="D23" s="16" t="n">
        <f aca="false">IFERROR(MIN($C$8,$E$17)/$C$8,0)</f>
        <v>1</v>
      </c>
      <c r="E23" s="16" t="n">
        <f aca="false">IFERROR(D23/$D$8-1,0)</f>
        <v>0.25</v>
      </c>
      <c r="G23" s="5" t="s">
        <v>50</v>
      </c>
    </row>
    <row r="24" customFormat="false" ht="22.35" hidden="false" customHeight="false" outlineLevel="0" collapsed="false">
      <c r="B24" s="8" t="s">
        <v>23</v>
      </c>
      <c r="C24" s="15" t="n">
        <f aca="false">MAX(0,$E$17-$C$8)</f>
        <v>80</v>
      </c>
      <c r="D24" s="16" t="n">
        <f aca="false">IFERROR(MIN($C$9,MAX(0,$E$17-$C$8))/$C$9,0)</f>
        <v>0.266666666666667</v>
      </c>
      <c r="E24" s="16" t="n">
        <f aca="false">IFERROR(D24/$D$9-1,0)</f>
        <v>-0.238095238095238</v>
      </c>
      <c r="G24" s="5" t="s">
        <v>51</v>
      </c>
    </row>
    <row r="25" customFormat="false" ht="15" hidden="false" customHeight="false" outlineLevel="0" collapsed="false">
      <c r="B25" s="8" t="s">
        <v>52</v>
      </c>
      <c r="D25" s="16" t="n">
        <f aca="false">0</f>
        <v>0</v>
      </c>
      <c r="G25" s="5" t="s">
        <v>53</v>
      </c>
    </row>
    <row r="27" customFormat="false" ht="27.75" hidden="false" customHeight="true" outlineLevel="0" collapsed="false">
      <c r="B27" s="17" t="s">
        <v>54</v>
      </c>
      <c r="C27" s="17"/>
      <c r="D27" s="17"/>
      <c r="E27" s="17"/>
      <c r="F27" s="17"/>
      <c r="G27" s="17"/>
    </row>
  </sheetData>
  <mergeCells count="2">
    <mergeCell ref="B4:G4"/>
    <mergeCell ref="B27:G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5" min="3" style="0" width="15"/>
    <col collapsed="false" customWidth="true" hidden="false" outlineLevel="0" max="7" min="7" style="0" width="54"/>
  </cols>
  <sheetData>
    <row r="2" customFormat="false" ht="17.35" hidden="false" customHeight="false" outlineLevel="0" collapsed="false">
      <c r="B2" s="1" t="s">
        <v>55</v>
      </c>
    </row>
    <row r="4" customFormat="false" ht="25.5" hidden="false" customHeight="true" outlineLevel="0" collapsed="false">
      <c r="B4" s="6" t="s">
        <v>56</v>
      </c>
      <c r="C4" s="6"/>
      <c r="D4" s="6"/>
      <c r="E4" s="6"/>
      <c r="F4" s="6"/>
      <c r="G4" s="6"/>
    </row>
    <row r="6" customFormat="false" ht="27.75" hidden="false" customHeight="true" outlineLevel="0" collapsed="false">
      <c r="B6" s="7"/>
      <c r="C6" s="7" t="s">
        <v>57</v>
      </c>
      <c r="G6" s="7" t="s">
        <v>20</v>
      </c>
    </row>
    <row r="7" customFormat="false" ht="15" hidden="false" customHeight="false" outlineLevel="0" collapsed="false">
      <c r="B7" s="8" t="s">
        <v>58</v>
      </c>
      <c r="C7" s="9" t="n">
        <v>220</v>
      </c>
      <c r="G7" s="5" t="s">
        <v>59</v>
      </c>
    </row>
    <row r="8" customFormat="false" ht="15" hidden="false" customHeight="false" outlineLevel="0" collapsed="false">
      <c r="B8" s="8" t="s">
        <v>60</v>
      </c>
      <c r="C8" s="9" t="n">
        <v>90</v>
      </c>
      <c r="G8" s="5" t="s">
        <v>61</v>
      </c>
    </row>
    <row r="9" customFormat="false" ht="15" hidden="false" customHeight="false" outlineLevel="0" collapsed="false">
      <c r="B9" s="8" t="s">
        <v>62</v>
      </c>
      <c r="C9" s="9" t="n">
        <v>70</v>
      </c>
      <c r="G9" s="5" t="s">
        <v>63</v>
      </c>
    </row>
    <row r="10" customFormat="false" ht="15" hidden="false" customHeight="false" outlineLevel="0" collapsed="false">
      <c r="B10" s="11" t="s">
        <v>64</v>
      </c>
      <c r="C10" s="12" t="n">
        <f aca="false">SUM(C7:C9)</f>
        <v>380</v>
      </c>
      <c r="G10" s="5" t="s">
        <v>65</v>
      </c>
    </row>
    <row r="11" customFormat="false" ht="22.35" hidden="false" customHeight="false" outlineLevel="0" collapsed="false">
      <c r="B11" s="8" t="s">
        <v>66</v>
      </c>
      <c r="C11" s="9" t="n">
        <v>-50</v>
      </c>
      <c r="G11" s="5" t="s">
        <v>67</v>
      </c>
    </row>
    <row r="12" customFormat="false" ht="15" hidden="false" customHeight="false" outlineLevel="0" collapsed="false">
      <c r="B12" s="11" t="s">
        <v>68</v>
      </c>
      <c r="C12" s="12" t="n">
        <f aca="false">$C$10+$C$11</f>
        <v>330</v>
      </c>
      <c r="G12" s="5" t="s">
        <v>69</v>
      </c>
    </row>
    <row r="14" customFormat="false" ht="15" hidden="false" customHeight="false" outlineLevel="0" collapsed="false">
      <c r="B14" s="3" t="s">
        <v>70</v>
      </c>
    </row>
    <row r="15" customFormat="false" ht="27.75" hidden="false" customHeight="true" outlineLevel="0" collapsed="false">
      <c r="B15" s="7" t="s">
        <v>45</v>
      </c>
      <c r="C15" s="7" t="s">
        <v>71</v>
      </c>
      <c r="D15" s="7" t="s">
        <v>48</v>
      </c>
      <c r="G15" s="7" t="s">
        <v>49</v>
      </c>
    </row>
    <row r="16" customFormat="false" ht="22.35" hidden="false" customHeight="false" outlineLevel="0" collapsed="false">
      <c r="B16" s="8" t="s">
        <v>21</v>
      </c>
      <c r="C16" s="16" t="n">
        <f aca="false">IFERROR(MIN('Sum of the Parts'!$C$8,$C$12)/'Sum of the Parts'!$C$8,0)</f>
        <v>0.825</v>
      </c>
      <c r="D16" s="16" t="n">
        <f aca="false">IFERROR(C16/'Sum of the Parts'!$D$8-1,0)</f>
        <v>0.0312499999999998</v>
      </c>
      <c r="G16" s="5" t="s">
        <v>72</v>
      </c>
    </row>
    <row r="17" customFormat="false" ht="15" hidden="false" customHeight="false" outlineLevel="0" collapsed="false">
      <c r="B17" s="8" t="s">
        <v>23</v>
      </c>
      <c r="C17" s="16" t="n">
        <f aca="false">IFERROR(MIN('Sum of the Parts'!$C$9,MAX(0,$C$12-'Sum of the Parts'!$C$8))/'Sum of the Parts'!$C$9,0)</f>
        <v>0</v>
      </c>
      <c r="D17" s="16" t="n">
        <f aca="false">IFERROR(C17/'Sum of the Parts'!$D$9-1,0)</f>
        <v>-1</v>
      </c>
      <c r="G17" s="5" t="s">
        <v>73</v>
      </c>
    </row>
    <row r="19" customFormat="false" ht="31.5" hidden="false" customHeight="true" outlineLevel="0" collapsed="false">
      <c r="B19" s="17" t="s">
        <v>74</v>
      </c>
      <c r="C19" s="17"/>
      <c r="D19" s="17"/>
      <c r="E19" s="17"/>
      <c r="F19" s="17"/>
      <c r="G19" s="17"/>
    </row>
  </sheetData>
  <mergeCells count="2">
    <mergeCell ref="B4:G4"/>
    <mergeCell ref="B19:G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6" min="3" style="0" width="17"/>
    <col collapsed="false" customWidth="true" hidden="false" outlineLevel="0" max="7" min="7" style="0" width="54"/>
  </cols>
  <sheetData>
    <row r="2" customFormat="false" ht="17.35" hidden="false" customHeight="false" outlineLevel="0" collapsed="false">
      <c r="B2" s="1" t="s">
        <v>75</v>
      </c>
    </row>
    <row r="4" customFormat="false" ht="30" hidden="false" customHeight="true" outlineLevel="0" collapsed="false">
      <c r="B4" s="6" t="s">
        <v>76</v>
      </c>
      <c r="C4" s="6"/>
      <c r="D4" s="6"/>
      <c r="E4" s="6"/>
      <c r="F4" s="6"/>
      <c r="G4" s="6"/>
    </row>
    <row r="6" customFormat="false" ht="27.75" hidden="false" customHeight="true" outlineLevel="0" collapsed="false">
      <c r="B6" s="7" t="s">
        <v>45</v>
      </c>
      <c r="C6" s="7" t="s">
        <v>77</v>
      </c>
      <c r="D6" s="7" t="s">
        <v>78</v>
      </c>
      <c r="E6" s="7" t="s">
        <v>79</v>
      </c>
      <c r="F6" s="7" t="s">
        <v>80</v>
      </c>
      <c r="G6" s="7" t="s">
        <v>81</v>
      </c>
    </row>
    <row r="7" customFormat="false" ht="15" hidden="false" customHeight="false" outlineLevel="0" collapsed="false">
      <c r="B7" s="8" t="s">
        <v>21</v>
      </c>
      <c r="C7" s="16" t="n">
        <f aca="false">IFERROR(MIN('Sum of the Parts'!$C$8,MAX(0,'Sum of the Parts'!$E$17))/'Sum of the Parts'!$C$8,0)</f>
        <v>1</v>
      </c>
      <c r="D7" s="16" t="n">
        <f aca="false">IFERROR(MIN('Sum of the Parts'!$C$8,MAX(0,'Sum of the Parts'!$E$16))/'Sum of the Parts'!$C$8,0)</f>
        <v>1</v>
      </c>
      <c r="E7" s="16" t="n">
        <f aca="false">IFERROR(MIN('Sum of the Parts'!$C$8,MAX(0,'Liquidation Floor'!$C$12))/'Sum of the Parts'!$C$8,0)</f>
        <v>0.825</v>
      </c>
      <c r="F7" s="16" t="n">
        <f aca="false">'Sum of the Parts'!$D$8</f>
        <v>0.8</v>
      </c>
      <c r="G7" s="8" t="str">
        <f aca="false">IF(E7&gt;=F7,"Covered on both grounds — protected even if the reorganisation fails","Lives or dies on the going concern — an equity-like bet, price it accordingly")</f>
        <v>Covered on both grounds — protected even if the reorganisation fails</v>
      </c>
    </row>
    <row r="8" customFormat="false" ht="15" hidden="false" customHeight="false" outlineLevel="0" collapsed="false">
      <c r="B8" s="8" t="s">
        <v>23</v>
      </c>
      <c r="C8" s="16" t="n">
        <f aca="false">IFERROR(MIN('Sum of the Parts'!$C$9,MAX(0,'Sum of the Parts'!$E$17-'Sum of the Parts'!$C$8))/'Sum of the Parts'!$C$9,0)</f>
        <v>0.266666666666667</v>
      </c>
      <c r="D8" s="16" t="n">
        <f aca="false">IFERROR(MIN('Sum of the Parts'!$C$9,MAX(0,'Sum of the Parts'!$E$16-'Sum of the Parts'!$C$8))/'Sum of the Parts'!$C$9,0)</f>
        <v>0.45</v>
      </c>
      <c r="E8" s="16" t="n">
        <f aca="false">IFERROR(MIN('Sum of the Parts'!$C$9,MAX(0,'Liquidation Floor'!$C$12-'Sum of the Parts'!$C$8))/'Sum of the Parts'!$C$9,0)</f>
        <v>0</v>
      </c>
      <c r="F8" s="16" t="n">
        <f aca="false">'Sum of the Parts'!$D$9</f>
        <v>0.35</v>
      </c>
      <c r="G8" s="8" t="str">
        <f aca="false">IF(E8&gt;=F8,"Covered on both grounds — protected even if the reorganisation fails","Lives or dies on the going concern — an equity-like bet, price it accordingly")</f>
        <v>Lives or dies on the going concern — an equity-like bet, price it accordingly</v>
      </c>
    </row>
    <row r="10" customFormat="false" ht="27.75" hidden="false" customHeight="true" outlineLevel="0" collapsed="false">
      <c r="B10" s="7"/>
      <c r="C10" s="7" t="s">
        <v>31</v>
      </c>
      <c r="G10" s="7" t="s">
        <v>82</v>
      </c>
    </row>
    <row r="11" customFormat="false" ht="15" hidden="false" customHeight="false" outlineLevel="0" collapsed="false">
      <c r="B11" s="8" t="s">
        <v>83</v>
      </c>
      <c r="C11" s="15" t="n">
        <f aca="false">'Sum of the Parts'!$E$18-'Sum of the Parts'!$E$17</f>
        <v>120</v>
      </c>
      <c r="G11" s="5" t="s">
        <v>84</v>
      </c>
    </row>
    <row r="12" customFormat="false" ht="15" hidden="false" customHeight="false" outlineLevel="0" collapsed="false">
      <c r="B12" s="8" t="s">
        <v>85</v>
      </c>
      <c r="C12" s="16" t="n">
        <f aca="false">MIN(C7,E7)</f>
        <v>0.825</v>
      </c>
      <c r="G12" s="5" t="s">
        <v>86</v>
      </c>
    </row>
    <row r="13" customFormat="false" ht="15" hidden="false" customHeight="false" outlineLevel="0" collapsed="false">
      <c r="B13" s="8" t="s">
        <v>87</v>
      </c>
      <c r="C13" s="16" t="n">
        <f aca="false">IFERROR(MIN(C7,E7)/F7-1,0)</f>
        <v>0.0312499999999998</v>
      </c>
      <c r="G13" s="5"/>
    </row>
    <row r="14" customFormat="false" ht="15" hidden="false" customHeight="false" outlineLevel="0" collapsed="false">
      <c r="B14" s="8" t="s">
        <v>88</v>
      </c>
      <c r="C14" s="16" t="n">
        <f aca="false">MIN(C8,E8)</f>
        <v>0</v>
      </c>
      <c r="G14" s="5"/>
    </row>
    <row r="15" customFormat="false" ht="15" hidden="false" customHeight="false" outlineLevel="0" collapsed="false">
      <c r="B15" s="8" t="s">
        <v>89</v>
      </c>
      <c r="C15" s="16" t="n">
        <f aca="false">C8-E8</f>
        <v>0.266666666666667</v>
      </c>
      <c r="G15" s="5" t="s">
        <v>90</v>
      </c>
    </row>
    <row r="16" customFormat="false" ht="15" hidden="false" customHeight="false" outlineLevel="0" collapsed="false">
      <c r="B16" s="8" t="s">
        <v>91</v>
      </c>
      <c r="C16" s="15" t="n">
        <f aca="false">('Sum of the Parts'!$D$9*'Sum of the Parts'!$C$9)+'Sum of the Parts'!$C$8</f>
        <v>505</v>
      </c>
      <c r="G16" s="5" t="s">
        <v>92</v>
      </c>
    </row>
  </sheetData>
  <mergeCells count="1">
    <mergeCell ref="B4:G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6"/>
    <col collapsed="false" customWidth="true" hidden="false" outlineLevel="0" max="3" min="3" style="0" width="78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6" min="6" style="0" width="40"/>
  </cols>
  <sheetData>
    <row r="2" customFormat="false" ht="220.85" hidden="false" customHeight="false" outlineLevel="0" collapsed="false">
      <c r="B2" s="1" t="s">
        <v>93</v>
      </c>
    </row>
    <row r="4" customFormat="false" ht="27.75" hidden="false" customHeight="true" outlineLevel="0" collapsed="false">
      <c r="B4" s="6" t="s">
        <v>94</v>
      </c>
      <c r="C4" s="6"/>
      <c r="D4" s="6"/>
      <c r="E4" s="6"/>
      <c r="F4" s="6"/>
    </row>
    <row r="6" customFormat="false" ht="27.75" hidden="false" customHeight="true" outlineLevel="0" collapsed="false">
      <c r="B6" s="7" t="s">
        <v>95</v>
      </c>
      <c r="C6" s="7" t="s">
        <v>96</v>
      </c>
      <c r="D6" s="7" t="s">
        <v>97</v>
      </c>
      <c r="E6" s="7" t="s">
        <v>98</v>
      </c>
      <c r="F6" s="7" t="s">
        <v>99</v>
      </c>
    </row>
    <row r="7" customFormat="false" ht="15" hidden="false" customHeight="false" outlineLevel="0" collapsed="false">
      <c r="B7" s="18" t="s">
        <v>100</v>
      </c>
      <c r="C7" s="18"/>
      <c r="D7" s="18"/>
      <c r="E7" s="18"/>
      <c r="F7" s="18"/>
    </row>
    <row r="8" customFormat="false" ht="15" hidden="false" customHeight="false" outlineLevel="0" collapsed="false">
      <c r="B8" s="19" t="n">
        <v>1</v>
      </c>
      <c r="C8" s="2" t="s">
        <v>101</v>
      </c>
      <c r="D8" s="20" t="s">
        <v>102</v>
      </c>
      <c r="E8" s="20"/>
      <c r="F8" s="20"/>
    </row>
    <row r="9" customFormat="false" ht="15" hidden="false" customHeight="false" outlineLevel="0" collapsed="false">
      <c r="B9" s="19" t="n">
        <v>2</v>
      </c>
      <c r="C9" s="2" t="s">
        <v>103</v>
      </c>
      <c r="D9" s="20" t="s">
        <v>102</v>
      </c>
      <c r="E9" s="20"/>
      <c r="F9" s="20"/>
    </row>
    <row r="10" customFormat="false" ht="23.85" hidden="false" customHeight="false" outlineLevel="0" collapsed="false">
      <c r="B10" s="19" t="n">
        <v>3</v>
      </c>
      <c r="C10" s="2" t="s">
        <v>104</v>
      </c>
      <c r="D10" s="20" t="s">
        <v>102</v>
      </c>
      <c r="E10" s="20"/>
      <c r="F10" s="20"/>
    </row>
    <row r="11" customFormat="false" ht="15" hidden="false" customHeight="false" outlineLevel="0" collapsed="false">
      <c r="B11" s="19" t="n">
        <v>4</v>
      </c>
      <c r="C11" s="2" t="s">
        <v>105</v>
      </c>
      <c r="D11" s="20" t="s">
        <v>102</v>
      </c>
      <c r="E11" s="20"/>
      <c r="F11" s="20"/>
    </row>
    <row r="12" customFormat="false" ht="15" hidden="false" customHeight="false" outlineLevel="0" collapsed="false">
      <c r="B12" s="18" t="s">
        <v>106</v>
      </c>
      <c r="C12" s="18"/>
      <c r="D12" s="18"/>
      <c r="E12" s="18"/>
      <c r="F12" s="18"/>
    </row>
    <row r="13" customFormat="false" ht="23.85" hidden="false" customHeight="false" outlineLevel="0" collapsed="false">
      <c r="B13" s="19" t="n">
        <v>5</v>
      </c>
      <c r="C13" s="2" t="s">
        <v>107</v>
      </c>
      <c r="D13" s="20" t="s">
        <v>102</v>
      </c>
      <c r="E13" s="20"/>
      <c r="F13" s="20"/>
    </row>
    <row r="14" customFormat="false" ht="15" hidden="false" customHeight="false" outlineLevel="0" collapsed="false">
      <c r="B14" s="19" t="n">
        <v>6</v>
      </c>
      <c r="C14" s="2" t="s">
        <v>108</v>
      </c>
      <c r="D14" s="20" t="s">
        <v>102</v>
      </c>
      <c r="E14" s="20"/>
      <c r="F14" s="20"/>
    </row>
    <row r="15" customFormat="false" ht="15" hidden="false" customHeight="false" outlineLevel="0" collapsed="false">
      <c r="B15" s="19" t="n">
        <v>7</v>
      </c>
      <c r="C15" s="2" t="s">
        <v>109</v>
      </c>
      <c r="D15" s="20" t="s">
        <v>102</v>
      </c>
      <c r="E15" s="20"/>
      <c r="F15" s="20"/>
    </row>
    <row r="16" customFormat="false" ht="15" hidden="false" customHeight="false" outlineLevel="0" collapsed="false">
      <c r="B16" s="19" t="n">
        <v>8</v>
      </c>
      <c r="C16" s="2" t="s">
        <v>110</v>
      </c>
      <c r="D16" s="20" t="s">
        <v>102</v>
      </c>
      <c r="E16" s="20"/>
      <c r="F16" s="20"/>
    </row>
    <row r="17" customFormat="false" ht="15" hidden="false" customHeight="false" outlineLevel="0" collapsed="false">
      <c r="B17" s="18" t="s">
        <v>111</v>
      </c>
      <c r="C17" s="18"/>
      <c r="D17" s="18"/>
      <c r="E17" s="18"/>
      <c r="F17" s="18"/>
    </row>
    <row r="18" customFormat="false" ht="15" hidden="false" customHeight="false" outlineLevel="0" collapsed="false">
      <c r="B18" s="19" t="n">
        <v>9</v>
      </c>
      <c r="C18" s="2" t="s">
        <v>112</v>
      </c>
      <c r="D18" s="20" t="s">
        <v>102</v>
      </c>
      <c r="E18" s="20"/>
      <c r="F18" s="20"/>
    </row>
    <row r="19" customFormat="false" ht="23.85" hidden="false" customHeight="false" outlineLevel="0" collapsed="false">
      <c r="B19" s="19" t="n">
        <v>10</v>
      </c>
      <c r="C19" s="2" t="s">
        <v>113</v>
      </c>
      <c r="D19" s="20" t="s">
        <v>102</v>
      </c>
      <c r="E19" s="20"/>
      <c r="F19" s="20"/>
    </row>
    <row r="20" customFormat="false" ht="15" hidden="false" customHeight="false" outlineLevel="0" collapsed="false">
      <c r="B20" s="19" t="n">
        <v>11</v>
      </c>
      <c r="C20" s="2" t="s">
        <v>114</v>
      </c>
      <c r="D20" s="20" t="s">
        <v>102</v>
      </c>
      <c r="E20" s="20"/>
      <c r="F20" s="20"/>
    </row>
    <row r="21" customFormat="false" ht="23.85" hidden="false" customHeight="false" outlineLevel="0" collapsed="false">
      <c r="B21" s="19" t="n">
        <v>12</v>
      </c>
      <c r="C21" s="2" t="s">
        <v>115</v>
      </c>
      <c r="D21" s="20" t="s">
        <v>102</v>
      </c>
      <c r="E21" s="20"/>
      <c r="F21" s="20"/>
    </row>
    <row r="22" customFormat="false" ht="15" hidden="false" customHeight="false" outlineLevel="0" collapsed="false">
      <c r="B22" s="19" t="n">
        <v>13</v>
      </c>
      <c r="C22" s="2" t="s">
        <v>116</v>
      </c>
      <c r="D22" s="20" t="s">
        <v>102</v>
      </c>
      <c r="E22" s="20"/>
      <c r="F22" s="20"/>
    </row>
    <row r="23" customFormat="false" ht="15" hidden="false" customHeight="false" outlineLevel="0" collapsed="false">
      <c r="B23" s="18" t="s">
        <v>117</v>
      </c>
      <c r="C23" s="18"/>
      <c r="D23" s="18"/>
      <c r="E23" s="18"/>
      <c r="F23" s="18"/>
    </row>
    <row r="24" customFormat="false" ht="15" hidden="false" customHeight="false" outlineLevel="0" collapsed="false">
      <c r="B24" s="19" t="n">
        <v>14</v>
      </c>
      <c r="C24" s="2" t="s">
        <v>118</v>
      </c>
      <c r="D24" s="20" t="s">
        <v>102</v>
      </c>
      <c r="E24" s="20"/>
      <c r="F24" s="20"/>
    </row>
    <row r="25" customFormat="false" ht="15" hidden="false" customHeight="false" outlineLevel="0" collapsed="false">
      <c r="B25" s="19" t="n">
        <v>15</v>
      </c>
      <c r="C25" s="2" t="s">
        <v>119</v>
      </c>
      <c r="D25" s="20" t="s">
        <v>102</v>
      </c>
      <c r="E25" s="20"/>
      <c r="F25" s="20"/>
    </row>
    <row r="26" customFormat="false" ht="15" hidden="false" customHeight="false" outlineLevel="0" collapsed="false">
      <c r="B26" s="19" t="n">
        <v>16</v>
      </c>
      <c r="C26" s="2" t="s">
        <v>120</v>
      </c>
      <c r="D26" s="20" t="s">
        <v>102</v>
      </c>
      <c r="E26" s="20"/>
      <c r="F26" s="20"/>
    </row>
    <row r="27" customFormat="false" ht="15" hidden="false" customHeight="false" outlineLevel="0" collapsed="false">
      <c r="B27" s="19" t="n">
        <v>17</v>
      </c>
      <c r="C27" s="2" t="s">
        <v>121</v>
      </c>
      <c r="D27" s="20" t="s">
        <v>102</v>
      </c>
      <c r="E27" s="20"/>
      <c r="F27" s="20"/>
    </row>
    <row r="28" customFormat="false" ht="15" hidden="false" customHeight="false" outlineLevel="0" collapsed="false">
      <c r="B28" s="19" t="n">
        <v>18</v>
      </c>
      <c r="C28" s="2" t="s">
        <v>122</v>
      </c>
      <c r="D28" s="20" t="s">
        <v>102</v>
      </c>
      <c r="E28" s="20"/>
      <c r="F28" s="20"/>
    </row>
    <row r="29" customFormat="false" ht="23.85" hidden="false" customHeight="false" outlineLevel="0" collapsed="false">
      <c r="B29" s="19" t="n">
        <v>19</v>
      </c>
      <c r="C29" s="2" t="s">
        <v>123</v>
      </c>
      <c r="D29" s="20" t="s">
        <v>102</v>
      </c>
      <c r="E29" s="20"/>
      <c r="F29" s="20"/>
    </row>
    <row r="30" customFormat="false" ht="15" hidden="false" customHeight="false" outlineLevel="0" collapsed="false">
      <c r="B30" s="18" t="s">
        <v>124</v>
      </c>
      <c r="C30" s="18"/>
      <c r="D30" s="18"/>
      <c r="E30" s="18"/>
      <c r="F30" s="18"/>
    </row>
    <row r="31" customFormat="false" ht="15" hidden="false" customHeight="false" outlineLevel="0" collapsed="false">
      <c r="B31" s="19" t="n">
        <v>20</v>
      </c>
      <c r="C31" s="2" t="s">
        <v>125</v>
      </c>
      <c r="D31" s="20" t="s">
        <v>102</v>
      </c>
      <c r="E31" s="20"/>
      <c r="F31" s="20"/>
    </row>
    <row r="32" customFormat="false" ht="15" hidden="false" customHeight="false" outlineLevel="0" collapsed="false">
      <c r="B32" s="19" t="n">
        <v>21</v>
      </c>
      <c r="C32" s="2" t="s">
        <v>126</v>
      </c>
      <c r="D32" s="20" t="s">
        <v>102</v>
      </c>
      <c r="E32" s="20"/>
      <c r="F32" s="20"/>
    </row>
    <row r="33" customFormat="false" ht="15" hidden="false" customHeight="false" outlineLevel="0" collapsed="false">
      <c r="B33" s="19" t="n">
        <v>22</v>
      </c>
      <c r="C33" s="2" t="s">
        <v>127</v>
      </c>
      <c r="D33" s="20" t="s">
        <v>102</v>
      </c>
      <c r="E33" s="20"/>
      <c r="F33" s="20"/>
    </row>
    <row r="34" customFormat="false" ht="23.85" hidden="false" customHeight="false" outlineLevel="0" collapsed="false">
      <c r="B34" s="19" t="n">
        <v>23</v>
      </c>
      <c r="C34" s="2" t="s">
        <v>128</v>
      </c>
      <c r="D34" s="20" t="s">
        <v>102</v>
      </c>
      <c r="E34" s="20"/>
      <c r="F34" s="20"/>
    </row>
    <row r="35" customFormat="false" ht="15" hidden="false" customHeight="false" outlineLevel="0" collapsed="false">
      <c r="B35" s="18" t="s">
        <v>129</v>
      </c>
      <c r="C35" s="18"/>
      <c r="D35" s="18"/>
      <c r="E35" s="18"/>
      <c r="F35" s="18"/>
    </row>
    <row r="36" customFormat="false" ht="15" hidden="false" customHeight="false" outlineLevel="0" collapsed="false">
      <c r="B36" s="19" t="n">
        <v>24</v>
      </c>
      <c r="C36" s="2" t="s">
        <v>130</v>
      </c>
      <c r="D36" s="20" t="s">
        <v>102</v>
      </c>
      <c r="E36" s="20"/>
      <c r="F36" s="20"/>
    </row>
    <row r="37" customFormat="false" ht="15" hidden="false" customHeight="false" outlineLevel="0" collapsed="false">
      <c r="B37" s="19" t="n">
        <v>25</v>
      </c>
      <c r="C37" s="2" t="s">
        <v>131</v>
      </c>
      <c r="D37" s="20" t="s">
        <v>102</v>
      </c>
      <c r="E37" s="20"/>
      <c r="F37" s="20"/>
    </row>
    <row r="38" customFormat="false" ht="15" hidden="false" customHeight="false" outlineLevel="0" collapsed="false">
      <c r="B38" s="19" t="n">
        <v>26</v>
      </c>
      <c r="C38" s="2" t="s">
        <v>132</v>
      </c>
      <c r="D38" s="20" t="s">
        <v>102</v>
      </c>
      <c r="E38" s="20"/>
      <c r="F38" s="20"/>
    </row>
    <row r="39" customFormat="false" ht="15" hidden="false" customHeight="false" outlineLevel="0" collapsed="false">
      <c r="B39" s="19" t="n">
        <v>27</v>
      </c>
      <c r="C39" s="2" t="s">
        <v>133</v>
      </c>
      <c r="D39" s="20" t="s">
        <v>102</v>
      </c>
      <c r="E39" s="20"/>
      <c r="F39" s="20"/>
    </row>
    <row r="41" customFormat="false" ht="27.75" hidden="false" customHeight="true" outlineLevel="0" collapsed="false">
      <c r="C41" s="7"/>
      <c r="D41" s="7" t="s">
        <v>134</v>
      </c>
      <c r="F41" s="7" t="s">
        <v>82</v>
      </c>
    </row>
    <row r="42" customFormat="false" ht="15" hidden="false" customHeight="false" outlineLevel="0" collapsed="false">
      <c r="C42" s="8" t="s">
        <v>135</v>
      </c>
      <c r="D42" s="21" t="n">
        <f aca="false">COUNTIF($D$8:$D$39,"Answered")</f>
        <v>0</v>
      </c>
      <c r="F42" s="5"/>
    </row>
    <row r="43" customFormat="false" ht="15" hidden="false" customHeight="false" outlineLevel="0" collapsed="false">
      <c r="C43" s="8" t="s">
        <v>102</v>
      </c>
      <c r="D43" s="21" t="n">
        <f aca="false">COUNTIF($D$8:$D$39,"Open")</f>
        <v>27</v>
      </c>
      <c r="F43" s="5"/>
    </row>
    <row r="44" customFormat="false" ht="22.35" hidden="false" customHeight="false" outlineLevel="0" collapsed="false">
      <c r="C44" s="8" t="s">
        <v>136</v>
      </c>
      <c r="D44" s="21" t="n">
        <f aca="false">SUMPRODUCT(($D$8:$D$39="Answered")*(TRIM($F$8:$F$39)=""))</f>
        <v>0</v>
      </c>
      <c r="F44" s="5" t="s">
        <v>137</v>
      </c>
    </row>
    <row r="45" customFormat="false" ht="15" hidden="false" customHeight="false" outlineLevel="0" collapsed="false">
      <c r="C45" s="8" t="s">
        <v>138</v>
      </c>
      <c r="D45" s="16" t="n">
        <f aca="false">IFERROR(COUNTIF($D$8:$D$39,"Answered")/MAX(1,39-8+1-COUNTIF($D$8:$D$39,"N/A")),0)</f>
        <v>0</v>
      </c>
      <c r="F45" s="5"/>
    </row>
    <row r="46" customFormat="false" ht="15" hidden="false" customHeight="false" outlineLevel="0" collapsed="false">
      <c r="C46" s="8" t="s">
        <v>139</v>
      </c>
      <c r="D46" s="8" t="str">
        <f aca="false">IF(AND(COUNTIF($D$8:$D$39,"Open")=0,SUMPRODUCT(($D$8:$D$39="Answered")*(TRIM($F$8:$F$39)=""))=0),"Yes","Not yet")</f>
        <v>Not yet</v>
      </c>
      <c r="F46" s="5"/>
    </row>
  </sheetData>
  <mergeCells count="7">
    <mergeCell ref="B4:F4"/>
    <mergeCell ref="B7:F7"/>
    <mergeCell ref="B12:F12"/>
    <mergeCell ref="B17:F17"/>
    <mergeCell ref="B23:F23"/>
    <mergeCell ref="B30:F30"/>
    <mergeCell ref="B35:F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6"/>
    <col collapsed="false" customWidth="true" hidden="false" outlineLevel="0" max="4" min="3" style="0" width="18"/>
    <col collapsed="false" customWidth="true" hidden="false" outlineLevel="0" max="5" min="5" style="0" width="11"/>
    <col collapsed="false" customWidth="true" hidden="false" outlineLevel="0" max="6" min="6" style="0" width="46"/>
  </cols>
  <sheetData>
    <row r="2" customFormat="false" ht="17.35" hidden="false" customHeight="false" outlineLevel="0" collapsed="false">
      <c r="B2" s="1" t="s">
        <v>11</v>
      </c>
    </row>
    <row r="4" customFormat="false" ht="15" hidden="false" customHeight="true" outlineLevel="0" collapsed="false">
      <c r="B4" s="6" t="s">
        <v>140</v>
      </c>
      <c r="C4" s="6"/>
      <c r="D4" s="6"/>
      <c r="E4" s="6"/>
      <c r="F4" s="6"/>
    </row>
    <row r="6" customFormat="false" ht="27.75" hidden="false" customHeight="true" outlineLevel="0" collapsed="false">
      <c r="B6" s="7" t="s">
        <v>141</v>
      </c>
      <c r="C6" s="7" t="s">
        <v>142</v>
      </c>
      <c r="D6" s="7" t="s">
        <v>143</v>
      </c>
      <c r="E6" s="7" t="s">
        <v>97</v>
      </c>
      <c r="F6" s="7" t="s">
        <v>20</v>
      </c>
    </row>
    <row r="7" customFormat="false" ht="15" hidden="false" customHeight="false" outlineLevel="0" collapsed="false">
      <c r="B7" s="8" t="s">
        <v>25</v>
      </c>
      <c r="C7" s="15" t="n">
        <v>700</v>
      </c>
      <c r="D7" s="15" t="n">
        <f aca="false">'Sum of the Parts'!$C$10</f>
        <v>700</v>
      </c>
      <c r="E7" s="22" t="str">
        <f aca="false">IF(ABS(D7-C7)&lt;=0.5,"OK","ECART")</f>
        <v>OK</v>
      </c>
      <c r="F7" s="5" t="s">
        <v>26</v>
      </c>
    </row>
    <row r="8" customFormat="false" ht="15" hidden="false" customHeight="false" outlineLevel="0" collapsed="false">
      <c r="B8" s="8" t="s">
        <v>144</v>
      </c>
      <c r="C8" s="15" t="n">
        <v>455</v>
      </c>
      <c r="D8" s="15" t="n">
        <f aca="false">'Sum of the Parts'!$E$14</f>
        <v>455</v>
      </c>
      <c r="E8" s="22" t="str">
        <f aca="false">IF(ABS(D8-C8)&lt;=0.5,"OK","ECART")</f>
        <v>OK</v>
      </c>
      <c r="F8" s="5" t="s">
        <v>145</v>
      </c>
    </row>
    <row r="9" customFormat="false" ht="15" hidden="false" customHeight="false" outlineLevel="0" collapsed="false">
      <c r="B9" s="8" t="s">
        <v>146</v>
      </c>
      <c r="C9" s="15" t="n">
        <v>80</v>
      </c>
      <c r="D9" s="15" t="n">
        <f aca="false">'Sum of the Parts'!$E$15</f>
        <v>80</v>
      </c>
      <c r="E9" s="22" t="str">
        <f aca="false">IF(ABS(D9-C9)&lt;=0.5,"OK","ECART")</f>
        <v>OK</v>
      </c>
      <c r="F9" s="5" t="s">
        <v>147</v>
      </c>
    </row>
    <row r="10" customFormat="false" ht="15" hidden="false" customHeight="false" outlineLevel="0" collapsed="false">
      <c r="B10" s="8" t="s">
        <v>37</v>
      </c>
      <c r="C10" s="15" t="n">
        <v>535</v>
      </c>
      <c r="D10" s="15" t="n">
        <f aca="false">'Sum of the Parts'!$E$16</f>
        <v>535</v>
      </c>
      <c r="E10" s="22" t="str">
        <f aca="false">IF(ABS(D10-C10)&lt;=0.5,"OK","ECART")</f>
        <v>OK</v>
      </c>
      <c r="F10" s="5" t="s">
        <v>38</v>
      </c>
    </row>
    <row r="11" customFormat="false" ht="15" hidden="false" customHeight="false" outlineLevel="0" collapsed="false">
      <c r="B11" s="8" t="s">
        <v>148</v>
      </c>
      <c r="C11" s="16" t="n">
        <v>1</v>
      </c>
      <c r="D11" s="16" t="n">
        <f aca="false">'Sum of the Parts'!$D$23</f>
        <v>1</v>
      </c>
      <c r="E11" s="22" t="str">
        <f aca="false">IF(ABS(D11-C11)&lt;=0.0005,"OK","ECART")</f>
        <v>OK</v>
      </c>
      <c r="F11" s="5" t="s">
        <v>149</v>
      </c>
    </row>
    <row r="12" customFormat="false" ht="15" hidden="false" customHeight="false" outlineLevel="0" collapsed="false">
      <c r="B12" s="8" t="s">
        <v>150</v>
      </c>
      <c r="C12" s="15" t="n">
        <v>80</v>
      </c>
      <c r="D12" s="15" t="n">
        <f aca="false">'Sum of the Parts'!$C$24</f>
        <v>80</v>
      </c>
      <c r="E12" s="22" t="str">
        <f aca="false">IF(ABS(D12-C12)&lt;=0.5,"OK","ECART")</f>
        <v>OK</v>
      </c>
      <c r="F12" s="5" t="s">
        <v>151</v>
      </c>
    </row>
    <row r="13" customFormat="false" ht="15" hidden="false" customHeight="false" outlineLevel="0" collapsed="false">
      <c r="B13" s="8" t="s">
        <v>152</v>
      </c>
      <c r="C13" s="16" t="n">
        <v>0.2667</v>
      </c>
      <c r="D13" s="16" t="n">
        <f aca="false">'Sum of the Parts'!$D$24</f>
        <v>0.266666666666667</v>
      </c>
      <c r="E13" s="22" t="str">
        <f aca="false">IF(ABS(D13-C13)&lt;=0.005,"OK","ECART")</f>
        <v>OK</v>
      </c>
      <c r="F13" s="5" t="s">
        <v>153</v>
      </c>
    </row>
    <row r="14" customFormat="false" ht="15" hidden="false" customHeight="false" outlineLevel="0" collapsed="false">
      <c r="B14" s="8" t="s">
        <v>154</v>
      </c>
      <c r="C14" s="15" t="n">
        <v>380</v>
      </c>
      <c r="D14" s="15" t="n">
        <f aca="false">'Liquidation Floor'!$C$10</f>
        <v>380</v>
      </c>
      <c r="E14" s="22" t="str">
        <f aca="false">IF(ABS(D14-C14)&lt;=0.5,"OK","ECART")</f>
        <v>OK</v>
      </c>
      <c r="F14" s="5" t="s">
        <v>155</v>
      </c>
    </row>
    <row r="15" customFormat="false" ht="15" hidden="false" customHeight="false" outlineLevel="0" collapsed="false">
      <c r="B15" s="8" t="s">
        <v>68</v>
      </c>
      <c r="C15" s="15" t="n">
        <v>330</v>
      </c>
      <c r="D15" s="15" t="n">
        <f aca="false">'Liquidation Floor'!$C$12</f>
        <v>330</v>
      </c>
      <c r="E15" s="22" t="str">
        <f aca="false">IF(ABS(D15-C15)&lt;=0.5,"OK","ECART")</f>
        <v>OK</v>
      </c>
      <c r="F15" s="5" t="s">
        <v>156</v>
      </c>
    </row>
    <row r="16" customFormat="false" ht="15" hidden="false" customHeight="false" outlineLevel="0" collapsed="false">
      <c r="B16" s="8" t="s">
        <v>157</v>
      </c>
      <c r="C16" s="16" t="n">
        <v>0.825</v>
      </c>
      <c r="D16" s="16" t="n">
        <f aca="false">'Liquidation Floor'!$C$16</f>
        <v>0.825</v>
      </c>
      <c r="E16" s="22" t="str">
        <f aca="false">IF(ABS(D16-C16)&lt;=0.006,"OK","ECART")</f>
        <v>OK</v>
      </c>
      <c r="F16" s="5" t="s">
        <v>158</v>
      </c>
    </row>
    <row r="17" customFormat="false" ht="15" hidden="false" customHeight="false" outlineLevel="0" collapsed="false">
      <c r="B17" s="8" t="s">
        <v>159</v>
      </c>
      <c r="C17" s="16" t="n">
        <v>0</v>
      </c>
      <c r="D17" s="16" t="n">
        <f aca="false">'Liquidation Floor'!$C$17</f>
        <v>0</v>
      </c>
      <c r="E17" s="22" t="str">
        <f aca="false">IF(ABS(D17-C17)&lt;=0.0005,"OK","ECART")</f>
        <v>OK</v>
      </c>
      <c r="F17" s="5" t="s">
        <v>160</v>
      </c>
    </row>
    <row r="19" customFormat="false" ht="15" hidden="false" customHeight="false" outlineLevel="0" collapsed="false">
      <c r="B19" s="3" t="s">
        <v>161</v>
      </c>
    </row>
    <row r="20" customFormat="false" ht="27.75" hidden="false" customHeight="true" outlineLevel="0" collapsed="false">
      <c r="B20" s="7" t="s">
        <v>141</v>
      </c>
      <c r="C20" s="7" t="s">
        <v>162</v>
      </c>
      <c r="D20" s="7" t="s">
        <v>163</v>
      </c>
      <c r="E20" s="7" t="s">
        <v>97</v>
      </c>
      <c r="F20" s="7" t="s">
        <v>82</v>
      </c>
    </row>
    <row r="21" customFormat="false" ht="15" hidden="false" customHeight="false" outlineLevel="0" collapsed="false">
      <c r="B21" s="8" t="s">
        <v>164</v>
      </c>
      <c r="C21" s="21" t="n">
        <v>1</v>
      </c>
      <c r="D21" s="21" t="n">
        <f aca="false">IF(AND('Two Grounds'!$C$7&gt;=0.99,'Two Grounds'!$E$7&gt;=0.8),1,0)</f>
        <v>1</v>
      </c>
      <c r="E21" s="22" t="str">
        <f aca="false">IF(ABS(D21-C21)&lt;=0.0001,"OK","ECART")</f>
        <v>OK</v>
      </c>
      <c r="F21" s="5" t="s">
        <v>165</v>
      </c>
    </row>
    <row r="22" customFormat="false" ht="15" hidden="false" customHeight="false" outlineLevel="0" collapsed="false">
      <c r="B22" s="8" t="s">
        <v>166</v>
      </c>
      <c r="C22" s="21" t="n">
        <v>1</v>
      </c>
      <c r="D22" s="21" t="n">
        <f aca="false">IF('Two Grounds'!$E$8&lt;0.01,1,0)</f>
        <v>1</v>
      </c>
      <c r="E22" s="22" t="str">
        <f aca="false">IF(ABS(D22-C22)&lt;=0.0001,"OK","ECART")</f>
        <v>OK</v>
      </c>
      <c r="F22" s="5" t="s">
        <v>167</v>
      </c>
    </row>
    <row r="23" customFormat="false" ht="15" hidden="false" customHeight="false" outlineLevel="0" collapsed="false">
      <c r="B23" s="8" t="s">
        <v>168</v>
      </c>
      <c r="C23" s="21" t="n">
        <v>1</v>
      </c>
      <c r="D23" s="21" t="n">
        <f aca="false">IF(AND('Sum of the Parts'!$E$16&gt;='Sum of the Parts'!$E$17,'Sum of the Parts'!$E$16&lt;='Sum of the Parts'!$E$18),1,0)</f>
        <v>1</v>
      </c>
      <c r="E23" s="22" t="str">
        <f aca="false">IF(ABS(D23-C23)&lt;=0.0001,"OK","ECART")</f>
        <v>OK</v>
      </c>
      <c r="F23" s="5"/>
    </row>
    <row r="24" customFormat="false" ht="15" hidden="false" customHeight="false" outlineLevel="0" collapsed="false">
      <c r="B24" s="8" t="s">
        <v>169</v>
      </c>
      <c r="C24" s="15" t="n">
        <f aca="false">'Sum of the Parts'!$E$16</f>
        <v>535</v>
      </c>
      <c r="D24" s="15" t="n">
        <f aca="false">'Sum of the Parts'!$E$14+'Sum of the Parts'!$E$15</f>
        <v>535</v>
      </c>
      <c r="E24" s="22" t="str">
        <f aca="false">IF(ABS(D24-C24)&lt;=0.5,"OK","ECART")</f>
        <v>OK</v>
      </c>
      <c r="F24" s="5"/>
    </row>
    <row r="26" customFormat="false" ht="15" hidden="false" customHeight="false" outlineLevel="0" collapsed="false">
      <c r="B26" s="4" t="s">
        <v>170</v>
      </c>
      <c r="D26" s="23" t="str">
        <f aca="false">IF(COUNTIF(E7:E17,"OK")+COUNTIF(E21:E24,"OK")=15,"TOUT CONCORDE","VERIFIER")</f>
        <v>TOUT CONCORDE</v>
      </c>
    </row>
  </sheetData>
  <mergeCells count="1">
    <mergeCell ref="B4:F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2026-08-12T19:57:35Z</dcterms:created>
  <dc:creator>openpyxl</dc:creator>
  <dc:description/>
  <dc:language>en-US</dc:language>
  <cp:lastModifiedBy/>
  <dcterms:modified xsi:type="dcterms:W3CDTF">2026-08-12T19:57:35Z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