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Frictions" sheetId="2" state="visible" r:id="rId4"/>
    <sheet name="Form and Time" sheetId="3" state="visible" r:id="rId5"/>
    <sheet name="One Turn of Multiple" sheetId="4" state="visible" r:id="rId6"/>
    <sheet name="Margin of Safety" sheetId="5" state="visible" r:id="rId7"/>
    <sheet name="Check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<sst xmlns="http://schemas.openxmlformats.org/spreadsheetml/2006/main" count="277" uniqueCount="236">
  <si>
    <t xml:space="preserve">The Distressed Debt Investor — Recovery, Frictions and Return</t>
  </si>
  <si>
    <t xml:space="preserve">Companion workbook to Chapters 4 and 11 and Appendix E of "The Distressed Debt Investor" by Julian R. Sterling. Free, ungated, and yours to reuse.</t>
  </si>
  <si>
    <t xml:space="preserve">Sheets</t>
  </si>
  <si>
    <t xml:space="preserve">Frictions</t>
  </si>
  <si>
    <t xml:space="preserve">      The transparent recovery model in Chapter 11: enterprise value of 700, 40 of fee leakage, a DIP of 100, and the fulcrum moving from the unsecured notes into the second lien as a result. "This is not a rounding detail."</t>
  </si>
  <si>
    <t xml:space="preserve">Form and Time</t>
  </si>
  <si>
    <t xml:space="preserve">      What an 80-cent headline recovery is actually worth when it arrives as 30 cents of cash and 50 of face in takeback notes trading at 90 — and what the answer does to the return as the process drags.</t>
  </si>
  <si>
    <t xml:space="preserve">One Turn of Multiple</t>
  </si>
  <si>
    <t xml:space="preserve">      The sensitivity Chapter 11 runs at 6.0x, 7.0x and 8.0x: the senior claims do not move at all and the fulcrum recovery swings from zero to 67 cents.</t>
  </si>
  <si>
    <t xml:space="preserve">Margin of Safety</t>
  </si>
  <si>
    <t xml:space="preserve">      The two worked examples in Chapter 4 — the senior secured recovery and the fulcrum trade — with the break-even recovery and the cushion the chapter says is "the whole game".</t>
  </si>
  <si>
    <t xml:space="preserve">Checks</t>
  </si>
  <si>
    <t xml:space="preserve">      Every figure the book prints, against what this workbook computes.</t>
  </si>
  <si>
    <t xml:space="preserve">Blue on yellow is an input. Black is a formula. Green links to another sheet. Nothing is hard-coded to force the book's answer — clear the inputs and the model empties out instead of lying to you.</t>
  </si>
  <si>
    <t xml:space="preserve">Source: The Distressed Debt Investor, Chapters 4 and 11 and Appendix E. All figures in millions unless stated in cents.</t>
  </si>
  <si>
    <t xml:space="preserve">What the frictions do to the fulcrum</t>
  </si>
  <si>
    <t xml:space="preserve">"Start with going-concern EV of 700. Subtract 40 of professional-fee leakage, leaving 660 of distributable value. Assume a DIP of 100 was drawn to fund the process; it sits at super-priority and is repaid first. After repaying the DIP, 560 remains for the pre-existing capital structure."</t>
  </si>
  <si>
    <t xml:space="preserve">Value available</t>
  </si>
  <si>
    <t xml:space="preserve">Amount</t>
  </si>
  <si>
    <t xml:space="preserve">Source</t>
  </si>
  <si>
    <t xml:space="preserve">Going-concern enterprise value</t>
  </si>
  <si>
    <t xml:space="preserve">11 — "going-concern EV of 700"</t>
  </si>
  <si>
    <t xml:space="preserve">Professional-fee leakage</t>
  </si>
  <si>
    <t xml:space="preserve">11 — "Subtract 40 of professional-fee leakage"</t>
  </si>
  <si>
    <t xml:space="preserve">DIP drawn, repaid at super-priority</t>
  </si>
  <si>
    <t xml:space="preserve">11 — "a DIP of 100 was drawn to fund the process"</t>
  </si>
  <si>
    <t xml:space="preserve">Distributable value after fees</t>
  </si>
  <si>
    <t xml:space="preserve">11 — "leaving 660 of distributable value"</t>
  </si>
  <si>
    <t xml:space="preserve">Value for the pre-petition stack</t>
  </si>
  <si>
    <t xml:space="preserve">11 — "560 remains for the pre-existing capital structure (660 minus 100)"</t>
  </si>
  <si>
    <t xml:space="preserve">The waterfall on 560</t>
  </si>
  <si>
    <t xml:space="preserve">Tranche</t>
  </si>
  <si>
    <t xml:space="preserve">Face</t>
  </si>
  <si>
    <t xml:space="preserve">Cumulative</t>
  </si>
  <si>
    <t xml:space="preserve">Value reaching it</t>
  </si>
  <si>
    <t xml:space="preserve">Recovery</t>
  </si>
  <si>
    <t xml:space="preserve">Cents</t>
  </si>
  <si>
    <t xml:space="preserve">Status</t>
  </si>
  <si>
    <t xml:space="preserve">What the chapter says</t>
  </si>
  <si>
    <t xml:space="preserve">First-lien term loan</t>
  </si>
  <si>
    <t xml:space="preserve">11 — "fully covered. Recovers 400 of 400, or 100 cents. Value remaining: 160."</t>
  </si>
  <si>
    <t xml:space="preserve">Second-lien notes</t>
  </si>
  <si>
    <t xml:space="preserve">11 — "160 of value remains, so it recovers 160 of 200, or 80 cents."</t>
  </si>
  <si>
    <t xml:space="preserve">Senior unsecured notes</t>
  </si>
  <si>
    <t xml:space="preserve">11 — "nothing remains. Recovers 0 cents."</t>
  </si>
  <si>
    <t xml:space="preserve">Equity</t>
  </si>
  <si>
    <t xml:space="preserve">11 — "Equity: 0."</t>
  </si>
  <si>
    <t xml:space="preserve">Fulcrum after frictions</t>
  </si>
  <si>
    <t xml:space="preserve">Recovery on the fulcrum</t>
  </si>
  <si>
    <t xml:space="preserve">The same structure with no frictions at all</t>
  </si>
  <si>
    <t xml:space="preserve">Recovery without frictions</t>
  </si>
  <si>
    <t xml:space="preserve">Recovery with frictions</t>
  </si>
  <si>
    <t xml:space="preserve">Difference</t>
  </si>
  <si>
    <t xml:space="preserve">"In the frictionless base case, value broke inside the unsecured notes; once fees and the DIP are accounted for, value breaks inside the second lien, and the unsecured notes are impaired to zero. This is not a rounding detail — it is the difference between the unsecured notes being the security you want to own and being a zero."</t>
  </si>
  <si>
    <t xml:space="preserve">What the recovery is actually worth</t>
  </si>
  <si>
    <t xml:space="preserve">"Suppose the second lien's 80-cent recovery arrives as a package: 30 cents of cash and 50 cents of face value in new takeback notes that, given the reorganized company's leverage, would trade at 90 cents on emergence."</t>
  </si>
  <si>
    <t xml:space="preserve">The package</t>
  </si>
  <si>
    <t xml:space="preserve">Value</t>
  </si>
  <si>
    <t xml:space="preserve">Headline recovery (cents)</t>
  </si>
  <si>
    <t xml:space="preserve">11 — the 80-cent recovery from the waterfall</t>
  </si>
  <si>
    <t xml:space="preserve">   of which cash</t>
  </si>
  <si>
    <t xml:space="preserve">11 — "30 cents of cash"</t>
  </si>
  <si>
    <t xml:space="preserve">   of which face value of takeback notes</t>
  </si>
  <si>
    <t xml:space="preserve">11 — "50 cents of face value in new takeback notes"</t>
  </si>
  <si>
    <t xml:space="preserve">Trading price of the takeback notes on emergence</t>
  </si>
  <si>
    <t xml:space="preserve">11 — "would trade at 90 cents on emergence"</t>
  </si>
  <si>
    <t xml:space="preserve">Entry price paid</t>
  </si>
  <si>
    <t xml:space="preserve">11 — "If you bought the second-lien notes at 50 cents"</t>
  </si>
  <si>
    <t xml:space="preserve">Years to emergence</t>
  </si>
  <si>
    <t xml:space="preserve">11 — "If the process takes two years"</t>
  </si>
  <si>
    <t xml:space="preserve">Realised value</t>
  </si>
  <si>
    <t xml:space="preserve">Cash component</t>
  </si>
  <si>
    <t xml:space="preserve">Value of the takeback notes</t>
  </si>
  <si>
    <t xml:space="preserve">"50 x 0.90 = 45"</t>
  </si>
  <si>
    <t xml:space="preserve">Realised value of the package</t>
  </si>
  <si>
    <t xml:space="preserve">"30 plus 45, or 75 cents — not the 80-cent headline"</t>
  </si>
  <si>
    <t xml:space="preserve">Haircut against the headline</t>
  </si>
  <si>
    <t xml:space="preserve">Profit on the entry price</t>
  </si>
  <si>
    <t xml:space="preserve">"your profit is 25 cents on a 50-cent basis"</t>
  </si>
  <si>
    <t xml:space="preserve">Total gain</t>
  </si>
  <si>
    <t xml:space="preserve">"a 50% total gain"</t>
  </si>
  <si>
    <t xml:space="preserve">Annualised return</t>
  </si>
  <si>
    <t xml:space="preserve">"a respectable IRR in the low twenties"</t>
  </si>
  <si>
    <t xml:space="preserve">Time is the primary driver — Appendix E</t>
  </si>
  <si>
    <t xml:space="preserve">"A senior note bought at 48 that recovers 80 in cash returns 80/48 − 1 ≈ 67% — but over what horizon?" The appendix then walks one, three and five years. "Time is not a footnote in distressed investing — it is a primary driver of return, and long, contested processes quietly erode a great-looking recovery."</t>
  </si>
  <si>
    <t xml:space="preserve">Years to resolution</t>
  </si>
  <si>
    <t xml:space="preserve">Entry</t>
  </si>
  <si>
    <t xml:space="preserve">Annualised</t>
  </si>
  <si>
    <t xml:space="preserve">Appendix E</t>
  </si>
  <si>
    <t xml:space="preserve">"The same recovery over one year is ≈ 67%"</t>
  </si>
  <si>
    <t xml:space="preserve">"the annualized return is roughly (80/48)^(1/3) − 1 ≈ 19%"</t>
  </si>
  <si>
    <t xml:space="preserve">"over five years, ≈ 11%"</t>
  </si>
  <si>
    <t xml:space="preserve">The same package, as the process drags</t>
  </si>
  <si>
    <t xml:space="preserve">Years</t>
  </si>
  <si>
    <t xml:space="preserve">Annualised return on the realised package</t>
  </si>
  <si>
    <t xml:space="preserve">Annualised return on the headline</t>
  </si>
  <si>
    <t xml:space="preserve">One turn of multiple</t>
  </si>
  <si>
    <t xml:space="preserve">"Suppose the business generates 100 of normalized EBITDA, and your base-case EV of 700 reflects a 7.0x multiple. Now imagine the market re-rates the sector and the credible multiple falls by one turn, to 6.0x." The chapter runs 6.0x, 7.0x and 8.0x on the frictionless stack. Note what does not move.</t>
  </si>
  <si>
    <t xml:space="preserve">Inputs</t>
  </si>
  <si>
    <t xml:space="preserve">Normalised EBITDA</t>
  </si>
  <si>
    <t xml:space="preserve">11 — "100 of normalized EBITDA"</t>
  </si>
  <si>
    <t xml:space="preserve">6.0x</t>
  </si>
  <si>
    <t xml:space="preserve">7.0x</t>
  </si>
  <si>
    <t xml:space="preserve">8.0x</t>
  </si>
  <si>
    <t xml:space="preserve">Multiple</t>
  </si>
  <si>
    <t xml:space="preserve">Enterprise value</t>
  </si>
  <si>
    <t xml:space="preserve">"EV drops from 700 to 600"; "push the other way, to 8.0x: EV rises to 800"</t>
  </si>
  <si>
    <t xml:space="preserve">First-lien term loan — recovery</t>
  </si>
  <si>
    <t xml:space="preserve">"the first lien has not moved at all"</t>
  </si>
  <si>
    <t xml:space="preserve">Second-lien notes — recovery</t>
  </si>
  <si>
    <t xml:space="preserve">"the second lien is unchanged at par"</t>
  </si>
  <si>
    <t xml:space="preserve">Senior unsecured notes — recovery</t>
  </si>
  <si>
    <t xml:space="preserve">"the unsecured recovery has collapsed from about 33 cents to zero"; at 8.0x "lifting it from 33 to about 67 cents"</t>
  </si>
  <si>
    <t xml:space="preserve">"A single turn of multiple — the kind of move that happens in a quarter — leaves the senior claims untouched and swings the fulcrum recovery across a range wide enough to determine whether you double your money or lose it all."</t>
  </si>
  <si>
    <t xml:space="preserve">What that does to a position bought at 30 cents</t>
  </si>
  <si>
    <t xml:space="preserve">Entry price on the unsecured notes</t>
  </si>
  <si>
    <t xml:space="preserve">Total return</t>
  </si>
  <si>
    <t xml:space="preserve">A wipeout, a modest gain, and a double — on one turn of multiple.</t>
  </si>
  <si>
    <t xml:space="preserve">The two worked examples in Chapter 4</t>
  </si>
  <si>
    <t xml:space="preserve">Example one is a senior secured pull-to-recovery. Example two is the fulcrum converting into ownership. The chapter says the gap between what you pay and what you conservatively underwrite is "the whole game" — so both sheets end with the break-even recovery.</t>
  </si>
  <si>
    <t xml:space="preserve">Example one — a senior secured recovery</t>
  </si>
  <si>
    <t xml:space="preserve">Face value of the loan</t>
  </si>
  <si>
    <t xml:space="preserve">4 — "a face value of 100"</t>
  </si>
  <si>
    <t xml:space="preserve">Entry price (cents)</t>
  </si>
  <si>
    <t xml:space="preserve">4 — "the loan trades at 55 cents on the dollar. You buy at 55."</t>
  </si>
  <si>
    <t xml:space="preserve">Underwritten recovery (cents)</t>
  </si>
  <si>
    <t xml:space="preserve">4 — "the secured class ultimately recovers 80 cents"</t>
  </si>
  <si>
    <t xml:space="preserve">4 — "roughly two years"</t>
  </si>
  <si>
    <t xml:space="preserve">Gross gain (cents)</t>
  </si>
  <si>
    <t xml:space="preserve">4 — "the gross gain is 25 cents on 55 cents invested"</t>
  </si>
  <si>
    <t xml:space="preserve">4 — "a little over 45 percent in total"</t>
  </si>
  <si>
    <t xml:space="preserve">4 — "an IRR in the low-20s percent range"</t>
  </si>
  <si>
    <t xml:space="preserve">Break-even recovery</t>
  </si>
  <si>
    <t xml:space="preserve">4 — "If you buy a claim at 55, your break-even recovery is 55"</t>
  </si>
  <si>
    <t xml:space="preserve">Cushion</t>
  </si>
  <si>
    <t xml:space="preserve">4 — "25 cents of cushion, room to absorb an ugly surprise"</t>
  </si>
  <si>
    <t xml:space="preserve">Recovery outcome</t>
  </si>
  <si>
    <t xml:space="preserve">Gain or loss (cents)</t>
  </si>
  <si>
    <t xml:space="preserve">Return on capital</t>
  </si>
  <si>
    <t xml:space="preserve">The underwritten case.</t>
  </si>
  <si>
    <t xml:space="preserve">4 — "You still make 5 cents on 55, a modest positive return"</t>
  </si>
  <si>
    <t xml:space="preserve">Break-even.</t>
  </si>
  <si>
    <t xml:space="preserve">4 — "you have lost 10 cents, roughly 18 percent of your capital"</t>
  </si>
  <si>
    <t xml:space="preserve">Cushion at different entry prices</t>
  </si>
  <si>
    <t xml:space="preserve">Entry price</t>
  </si>
  <si>
    <t xml:space="preserve">Cushion to an 80-cent recovery</t>
  </si>
  <si>
    <t xml:space="preserve">Recovery at which you break even</t>
  </si>
  <si>
    <t xml:space="preserve">4 — "Buying the senior loan at 55 with a conservative recovery of 80 gives you 25 cents of cushion"</t>
  </si>
  <si>
    <t xml:space="preserve">4 — "Buying the same loan at 75 leaves only 5 cents; you are underwriting near-perfection"</t>
  </si>
  <si>
    <t xml:space="preserve">Example two — capturing the fulcrum</t>
  </si>
  <si>
    <t xml:space="preserve">First-lien loan</t>
  </si>
  <si>
    <t xml:space="preserve">4 — "a first-lien loan of 200"</t>
  </si>
  <si>
    <t xml:space="preserve">4 — "senior unsecured notes of 150"</t>
  </si>
  <si>
    <t xml:space="preserve">Enterprise value in a credible downside</t>
  </si>
  <si>
    <t xml:space="preserve">4 — "worth about 300 in a credible downside case"</t>
  </si>
  <si>
    <t xml:space="preserve">Entry price on the notes (cents)</t>
  </si>
  <si>
    <t xml:space="preserve">4 — "those unsecured notes trade at 45 cents"</t>
  </si>
  <si>
    <t xml:space="preserve">Value of the reorganised equity per unit of old face</t>
  </si>
  <si>
    <t xml:space="preserve">4 — "worth 90 cents per unit of your old face"</t>
  </si>
  <si>
    <t xml:space="preserve">Value reaching the unsecured notes</t>
  </si>
  <si>
    <t xml:space="preserve">4 — "That leaves 100 of value flowing down to the unsecured notes"</t>
  </si>
  <si>
    <t xml:space="preserve">Recovery on the notes</t>
  </si>
  <si>
    <t xml:space="preserve">Value "breaks" inside the unsecured notes. They are the fulcrum.</t>
  </si>
  <si>
    <t xml:space="preserve">Cost of a full 150 of face</t>
  </si>
  <si>
    <t xml:space="preserve">4 — "an investment of 67.5 for every 150 of face"</t>
  </si>
  <si>
    <t xml:space="preserve">Value of the equity received</t>
  </si>
  <si>
    <t xml:space="preserve">4 — "your 150 of notes converts into equity worth 135"</t>
  </si>
  <si>
    <t xml:space="preserve">Multiple on invested capital</t>
  </si>
  <si>
    <t xml:space="preserve">4 — "That is a double on invested capital"</t>
  </si>
  <si>
    <t xml:space="preserve">Break-even equity value per unit of face</t>
  </si>
  <si>
    <t xml:space="preserve">Below this the trade loses money however right you were about the fulcrum.</t>
  </si>
  <si>
    <t xml:space="preserve">The stress the chapter runs</t>
  </si>
  <si>
    <t xml:space="preserve">Value to the notes</t>
  </si>
  <si>
    <t xml:space="preserve">Value of a 45-cent position</t>
  </si>
  <si>
    <t xml:space="preserve">The base case.</t>
  </si>
  <si>
    <t xml:space="preserve">The first lien is exactly covered; nothing reaches the notes.</t>
  </si>
  <si>
    <t xml:space="preserve">4 — "the unsecured notes you bought at 45 are worth close to nothing"</t>
  </si>
  <si>
    <t xml:space="preserve">"Shift the hypothetical EV from 300 down to 180 and the picture changes completely... The trade lived or died on one number you had to get right."</t>
  </si>
  <si>
    <t xml:space="preserve">Every figure Chapters 4 and 11 and Appendix E print, against what this workbook computes.</t>
  </si>
  <si>
    <t xml:space="preserve">Test</t>
  </si>
  <si>
    <t xml:space="preserve">Book</t>
  </si>
  <si>
    <t xml:space="preserve">This workbook</t>
  </si>
  <si>
    <t xml:space="preserve">11 — "560 remains"</t>
  </si>
  <si>
    <t xml:space="preserve">First lien recovers par</t>
  </si>
  <si>
    <t xml:space="preserve">11 — "Recovers 400 of 400, or 100 cents"</t>
  </si>
  <si>
    <t xml:space="preserve">Value remaining after the first lien</t>
  </si>
  <si>
    <t xml:space="preserve">11 — "Value remaining: 160"</t>
  </si>
  <si>
    <t xml:space="preserve">Second lien recovery</t>
  </si>
  <si>
    <t xml:space="preserve">11 — "it recovers 160 of 200, or 80 cents"</t>
  </si>
  <si>
    <t xml:space="preserve">Unsecured notes recover zero</t>
  </si>
  <si>
    <t xml:space="preserve">11 — "Recovers 0 cents"</t>
  </si>
  <si>
    <t xml:space="preserve">The fulcrum after frictions is the second lien</t>
  </si>
  <si>
    <t xml:space="preserve">11 — "value breaks inside the second lien"</t>
  </si>
  <si>
    <t xml:space="preserve">11 — "30 plus 45, or 75 cents"</t>
  </si>
  <si>
    <t xml:space="preserve">Total gain on a 50-cent entry</t>
  </si>
  <si>
    <t xml:space="preserve">11 — "a 50% total gain"</t>
  </si>
  <si>
    <t xml:space="preserve">Appendix E — one year</t>
  </si>
  <si>
    <t xml:space="preserve">E — "≈ 67%"</t>
  </si>
  <si>
    <t xml:space="preserve">Appendix E — three years</t>
  </si>
  <si>
    <t xml:space="preserve">E — "≈ 19%"</t>
  </si>
  <si>
    <t xml:space="preserve">Appendix E — five years</t>
  </si>
  <si>
    <t xml:space="preserve">E — "≈ 11%"</t>
  </si>
  <si>
    <t xml:space="preserve">6.0x — unsecured recovery</t>
  </si>
  <si>
    <t xml:space="preserve">11 — "nothing remains for the unsecured notes (0 cents)"</t>
  </si>
  <si>
    <t xml:space="preserve">7.0x — unsecured recovery</t>
  </si>
  <si>
    <t xml:space="preserve">11 — "about 33 cents"</t>
  </si>
  <si>
    <t xml:space="preserve">8.0x — unsecured recovery</t>
  </si>
  <si>
    <t xml:space="preserve">11 — "about 67 cents"</t>
  </si>
  <si>
    <t xml:space="preserve">7.0x and 8.0x — first lien unmoved</t>
  </si>
  <si>
    <t xml:space="preserve">11 — "the first lien has not moved at all"</t>
  </si>
  <si>
    <t xml:space="preserve">Example one — total return</t>
  </si>
  <si>
    <t xml:space="preserve">Example one — annualised</t>
  </si>
  <si>
    <t xml:space="preserve">Example one — loss at a 45-cent recovery</t>
  </si>
  <si>
    <t xml:space="preserve">4 — "roughly 18 percent of your capital"</t>
  </si>
  <si>
    <t xml:space="preserve">Example one — cushion at 75 cents</t>
  </si>
  <si>
    <t xml:space="preserve">4 — "Buying the same loan at 75 leaves only 5 cents"</t>
  </si>
  <si>
    <t xml:space="preserve">Example two — value to the notes</t>
  </si>
  <si>
    <t xml:space="preserve">4 — "That leaves 100 of value flowing down"</t>
  </si>
  <si>
    <t xml:space="preserve">Example two — cost of 150 of face</t>
  </si>
  <si>
    <t xml:space="preserve">Example two — value of the equity received</t>
  </si>
  <si>
    <t xml:space="preserve">4 — "equity worth 135"</t>
  </si>
  <si>
    <t xml:space="preserve">Example two — multiple on invested capital</t>
  </si>
  <si>
    <t xml:space="preserve">4 — "a double on invested capital"</t>
  </si>
  <si>
    <t xml:space="preserve">Example two — notes at an EV of 180</t>
  </si>
  <si>
    <t xml:space="preserve">4 — "worth close to nothing"</t>
  </si>
  <si>
    <t xml:space="preserve">Internal consistency</t>
  </si>
  <si>
    <t xml:space="preserve">Expected</t>
  </si>
  <si>
    <t xml:space="preserve">Computed</t>
  </si>
  <si>
    <t xml:space="preserve">Note</t>
  </si>
  <si>
    <t xml:space="preserve">Frictions cost the unsecured notes their entire recovery</t>
  </si>
  <si>
    <t xml:space="preserve">Frictionless the notes recover 33 cents; with fees and the DIP they recover nothing.</t>
  </si>
  <si>
    <t xml:space="preserve">The realised package is below the headline</t>
  </si>
  <si>
    <t xml:space="preserve">Form matters.</t>
  </si>
  <si>
    <t xml:space="preserve">Annualised return falls as the process drags</t>
  </si>
  <si>
    <t xml:space="preserve">One turn down wipes the fulcrum, one turn up doubles it</t>
  </si>
  <si>
    <t xml:space="preserve">All checks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</si>
</sst>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-"/>
    <numFmt numFmtId="166" formatCode="0.0%;\(0.0%\);\-"/>
    <numFmt numFmtId="167" formatCode="0"/>
    <numFmt numFmtId="168" formatCode="0.00%;\(0.00%\);\-"/>
    <numFmt numFmtId="169" formatCode="0.00\x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EDF2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F2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</cols>
  <sheetData>
    <row r="2" customFormat="false" ht="17.35" hidden="false" customHeight="false" outlineLevel="0" collapsed="false">
      <c r="B2" s="1" t="s">
        <v>0</v>
      </c>
    </row>
    <row r="4" customFormat="false" ht="23.8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</row>
    <row r="8" customFormat="false" ht="23.85" hidden="false" customHeight="false" outlineLevel="0" collapsed="false">
      <c r="B8" s="2" t="s">
        <v>4</v>
      </c>
    </row>
    <row r="9" customFormat="false" ht="15" hidden="false" customHeight="false" outlineLevel="0" collapsed="false">
      <c r="B9" s="4" t="s">
        <v>5</v>
      </c>
    </row>
    <row r="10" customFormat="false" ht="23.8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4" t="s">
        <v>7</v>
      </c>
    </row>
    <row r="12" customFormat="false" ht="23.8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4" t="s">
        <v>9</v>
      </c>
    </row>
    <row r="14" customFormat="false" ht="23.8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4" t="s">
        <v>11</v>
      </c>
    </row>
    <row r="16" customFormat="false" ht="15" hidden="false" customHeight="false" outlineLevel="0" collapsed="false">
      <c r="B16" s="2" t="s">
        <v>12</v>
      </c>
    </row>
    <row r="18" customFormat="false" ht="22.35" hidden="false" customHeight="false" outlineLevel="0" collapsed="false">
      <c r="B18" s="5" t="s">
        <v>13</v>
      </c>
    </row>
    <row r="20" customFormat="false" ht="15" hidden="false" customHeight="false" outlineLevel="0" collapsed="false">
      <c r="B20" s="5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14"/>
    <col collapsed="false" customWidth="true" hidden="false" outlineLevel="0" max="5" min="4" style="0" width="15"/>
    <col collapsed="false" customWidth="true" hidden="false" outlineLevel="0" max="6" min="6" style="0" width="13"/>
    <col collapsed="false" customWidth="true" hidden="false" outlineLevel="0" max="7" min="7" style="0" width="12"/>
    <col collapsed="false" customWidth="true" hidden="false" outlineLevel="0" max="8" min="8" style="0" width="20"/>
    <col collapsed="false" customWidth="true" hidden="false" outlineLevel="0" max="9" min="9" style="0" width="48"/>
  </cols>
  <sheetData>
    <row r="2" customFormat="false" ht="32.8" hidden="false" customHeight="false" outlineLevel="0" collapsed="false">
      <c r="B2" s="1" t="s">
        <v>15</v>
      </c>
    </row>
    <row r="4" customFormat="false" ht="39.75" hidden="false" customHeight="true" outlineLevel="0" collapsed="false">
      <c r="B4" s="6" t="s">
        <v>16</v>
      </c>
      <c r="C4" s="6"/>
      <c r="D4" s="6"/>
      <c r="E4" s="6"/>
      <c r="F4" s="6"/>
      <c r="G4" s="6"/>
      <c r="H4" s="6"/>
      <c r="I4" s="6"/>
    </row>
    <row r="6" customFormat="false" ht="15" hidden="false" customHeight="false" outlineLevel="0" collapsed="false">
      <c r="B6" s="3" t="s">
        <v>17</v>
      </c>
    </row>
    <row r="7" customFormat="false" ht="27.75" hidden="false" customHeight="true" outlineLevel="0" collapsed="false">
      <c r="B7" s="7"/>
      <c r="C7" s="7" t="s">
        <v>18</v>
      </c>
      <c r="I7" s="7" t="s">
        <v>19</v>
      </c>
    </row>
    <row r="8" customFormat="false" ht="15" hidden="false" customHeight="false" outlineLevel="0" collapsed="false">
      <c r="B8" s="8" t="s">
        <v>20</v>
      </c>
      <c r="C8" s="9" t="n">
        <v>700</v>
      </c>
      <c r="I8" s="5" t="s">
        <v>21</v>
      </c>
    </row>
    <row r="9" customFormat="false" ht="15" hidden="false" customHeight="false" outlineLevel="0" collapsed="false">
      <c r="B9" s="8" t="s">
        <v>22</v>
      </c>
      <c r="C9" s="9" t="n">
        <v>40</v>
      </c>
      <c r="I9" s="5" t="s">
        <v>23</v>
      </c>
    </row>
    <row r="10" customFormat="false" ht="15" hidden="false" customHeight="false" outlineLevel="0" collapsed="false">
      <c r="B10" s="8" t="s">
        <v>24</v>
      </c>
      <c r="C10" s="9" t="n">
        <v>100</v>
      </c>
      <c r="I10" s="5" t="s">
        <v>25</v>
      </c>
    </row>
    <row r="11" customFormat="false" ht="15" hidden="false" customHeight="false" outlineLevel="0" collapsed="false">
      <c r="B11" s="8" t="s">
        <v>26</v>
      </c>
      <c r="C11" s="10" t="n">
        <f aca="false">$C$8-$C$9</f>
        <v>660</v>
      </c>
      <c r="I11" s="5" t="s">
        <v>27</v>
      </c>
    </row>
    <row r="12" customFormat="false" ht="22.35" hidden="false" customHeight="false" outlineLevel="0" collapsed="false">
      <c r="B12" s="11" t="s">
        <v>28</v>
      </c>
      <c r="C12" s="12" t="n">
        <f aca="false">$C$11-$C$10</f>
        <v>560</v>
      </c>
      <c r="I12" s="5" t="s">
        <v>29</v>
      </c>
    </row>
    <row r="14" customFormat="false" ht="15" hidden="false" customHeight="false" outlineLevel="0" collapsed="false">
      <c r="B14" s="3" t="s">
        <v>30</v>
      </c>
    </row>
    <row r="15" customFormat="false" ht="27.75" hidden="false" customHeight="true" outlineLevel="0" collapsed="false">
      <c r="B15" s="7" t="s">
        <v>31</v>
      </c>
      <c r="C15" s="7" t="s">
        <v>32</v>
      </c>
      <c r="D15" s="7" t="s">
        <v>33</v>
      </c>
      <c r="E15" s="7" t="s">
        <v>34</v>
      </c>
      <c r="F15" s="7" t="s">
        <v>35</v>
      </c>
      <c r="G15" s="7" t="s">
        <v>36</v>
      </c>
      <c r="H15" s="7" t="s">
        <v>37</v>
      </c>
      <c r="I15" s="7" t="s">
        <v>38</v>
      </c>
    </row>
    <row r="16" customFormat="false" ht="22.35" hidden="false" customHeight="false" outlineLevel="0" collapsed="false">
      <c r="B16" s="8" t="s">
        <v>39</v>
      </c>
      <c r="C16" s="9" t="n">
        <v>400</v>
      </c>
      <c r="D16" s="10" t="n">
        <f aca="false">SUM($C$16:C16)</f>
        <v>400</v>
      </c>
      <c r="E16" s="10" t="n">
        <f aca="false">MAX(0,$C$12-0)</f>
        <v>560</v>
      </c>
      <c r="F16" s="10" t="n">
        <f aca="false">MIN(C16,E16)</f>
        <v>400</v>
      </c>
      <c r="G16" s="13" t="n">
        <f aca="false">IFERROR(F16/C16,0)</f>
        <v>1</v>
      </c>
      <c r="H16" s="4" t="str">
        <f aca="false">IF(F16&gt;=C16-0.0001,"Money-good",IF(F16&lt;=0.0001,"Out of the money","FULCRUM"))</f>
        <v>Money-good</v>
      </c>
      <c r="I16" s="5" t="s">
        <v>40</v>
      </c>
    </row>
    <row r="17" customFormat="false" ht="22.35" hidden="false" customHeight="false" outlineLevel="0" collapsed="false">
      <c r="B17" s="8" t="s">
        <v>41</v>
      </c>
      <c r="C17" s="9" t="n">
        <v>200</v>
      </c>
      <c r="D17" s="10" t="n">
        <f aca="false">SUM($C$16:C17)</f>
        <v>600</v>
      </c>
      <c r="E17" s="10" t="n">
        <f aca="false">MAX(0,$C$12-SUM($C$16:C16))</f>
        <v>160</v>
      </c>
      <c r="F17" s="10" t="n">
        <f aca="false">MIN(C17,E17)</f>
        <v>160</v>
      </c>
      <c r="G17" s="13" t="n">
        <f aca="false">IFERROR(F17/C17,0)</f>
        <v>0.8</v>
      </c>
      <c r="H17" s="4" t="str">
        <f aca="false">IF(F17&gt;=C17-0.0001,"Money-good",IF(F17&lt;=0.0001,"Out of the money","FULCRUM"))</f>
        <v>FULCRUM</v>
      </c>
      <c r="I17" s="5" t="s">
        <v>42</v>
      </c>
    </row>
    <row r="18" customFormat="false" ht="15" hidden="false" customHeight="false" outlineLevel="0" collapsed="false">
      <c r="B18" s="8" t="s">
        <v>43</v>
      </c>
      <c r="C18" s="9" t="n">
        <v>300</v>
      </c>
      <c r="D18" s="10" t="n">
        <f aca="false">SUM($C$16:C18)</f>
        <v>900</v>
      </c>
      <c r="E18" s="10" t="n">
        <f aca="false">MAX(0,$C$12-SUM($C$16:C17))</f>
        <v>0</v>
      </c>
      <c r="F18" s="10" t="n">
        <f aca="false">MIN(C18,E18)</f>
        <v>0</v>
      </c>
      <c r="G18" s="13" t="n">
        <f aca="false">IFERROR(F18/C18,0)</f>
        <v>0</v>
      </c>
      <c r="H18" s="4" t="str">
        <f aca="false">IF(F18&gt;=C18-0.0001,"Money-good",IF(F18&lt;=0.0001,"Out of the money","FULCRUM"))</f>
        <v>Out of the money</v>
      </c>
      <c r="I18" s="5" t="s">
        <v>44</v>
      </c>
    </row>
    <row r="19" customFormat="false" ht="15" hidden="false" customHeight="false" outlineLevel="0" collapsed="false">
      <c r="B19" s="8" t="s">
        <v>45</v>
      </c>
      <c r="F19" s="10" t="n">
        <f aca="false">MAX(0,$C$12-SUM($C$16:$C$18))</f>
        <v>0</v>
      </c>
      <c r="I19" s="5" t="s">
        <v>46</v>
      </c>
    </row>
    <row r="20" customFormat="false" ht="15" hidden="false" customHeight="false" outlineLevel="0" collapsed="false">
      <c r="B20" s="4" t="s">
        <v>47</v>
      </c>
      <c r="C20" s="14" t="str">
        <f aca="false">IFERROR(INDEX($B$16:$B$18,MATCH("FULCRUM",$H$16:$H$18,0)),"none")</f>
        <v>Second-lien notes</v>
      </c>
    </row>
    <row r="21" customFormat="false" ht="15" hidden="false" customHeight="false" outlineLevel="0" collapsed="false">
      <c r="B21" s="8" t="s">
        <v>48</v>
      </c>
      <c r="C21" s="13" t="n">
        <f aca="false">IFERROR(INDEX($G$16:$G$18,MATCH("FULCRUM",$H$16:$H$18,0)),0)</f>
        <v>0.8</v>
      </c>
    </row>
    <row r="23" customFormat="false" ht="26.85" hidden="false" customHeight="false" outlineLevel="0" collapsed="false">
      <c r="B23" s="3" t="s">
        <v>49</v>
      </c>
    </row>
    <row r="24" customFormat="false" ht="27.75" hidden="false" customHeight="true" outlineLevel="0" collapsed="false">
      <c r="B24" s="7" t="s">
        <v>31</v>
      </c>
      <c r="C24" s="7" t="s">
        <v>50</v>
      </c>
      <c r="D24" s="7" t="s">
        <v>51</v>
      </c>
      <c r="E24" s="7" t="s">
        <v>52</v>
      </c>
      <c r="I24" s="7"/>
    </row>
    <row r="25" customFormat="false" ht="15" hidden="false" customHeight="false" outlineLevel="0" collapsed="false">
      <c r="B25" s="8" t="str">
        <f aca="false">B16</f>
        <v>First-lien term loan</v>
      </c>
      <c r="C25" s="13" t="n">
        <f aca="false">IFERROR(MIN($C$16,MAX(0,$C$8-(0)))/$C$16,0)</f>
        <v>1</v>
      </c>
      <c r="D25" s="13" t="n">
        <f aca="false">G16</f>
        <v>1</v>
      </c>
      <c r="E25" s="13" t="n">
        <f aca="false">D25-C25</f>
        <v>0</v>
      </c>
    </row>
    <row r="26" customFormat="false" ht="15" hidden="false" customHeight="false" outlineLevel="0" collapsed="false">
      <c r="B26" s="8" t="str">
        <f aca="false">B17</f>
        <v>Second-lien notes</v>
      </c>
      <c r="C26" s="13" t="n">
        <f aca="false">IFERROR(MIN($C$17,MAX(0,$C$8-($C$16)))/$C$17,0)</f>
        <v>1</v>
      </c>
      <c r="D26" s="13" t="n">
        <f aca="false">G17</f>
        <v>0.8</v>
      </c>
      <c r="E26" s="13" t="n">
        <f aca="false">D26-C26</f>
        <v>-0.2</v>
      </c>
    </row>
    <row r="27" customFormat="false" ht="15" hidden="false" customHeight="false" outlineLevel="0" collapsed="false">
      <c r="B27" s="8" t="str">
        <f aca="false">B18</f>
        <v>Senior unsecured notes</v>
      </c>
      <c r="C27" s="13" t="n">
        <f aca="false">IFERROR(MIN($C$18,MAX(0,$C$8-($C$16+$C$17)))/$C$18,0)</f>
        <v>0.333333333333333</v>
      </c>
      <c r="D27" s="13" t="n">
        <f aca="false">G18</f>
        <v>0</v>
      </c>
      <c r="E27" s="13" t="n">
        <f aca="false">D27-C27</f>
        <v>-0.333333333333333</v>
      </c>
    </row>
    <row r="29" customFormat="false" ht="43.5" hidden="false" customHeight="true" outlineLevel="0" collapsed="false">
      <c r="B29" s="15" t="s">
        <v>53</v>
      </c>
      <c r="C29" s="15"/>
      <c r="D29" s="15"/>
      <c r="E29" s="15"/>
      <c r="F29" s="15"/>
      <c r="G29" s="15"/>
      <c r="H29" s="15"/>
      <c r="I29" s="15"/>
    </row>
  </sheetData>
  <mergeCells count="2">
    <mergeCell ref="B4:I4"/>
    <mergeCell ref="B29:I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6" min="3" style="0" width="16"/>
    <col collapsed="false" customWidth="true" hidden="false" outlineLevel="0" max="7" min="7" style="0" width="50"/>
  </cols>
  <sheetData>
    <row r="2" customFormat="false" ht="32.8" hidden="false" customHeight="false" outlineLevel="0" collapsed="false">
      <c r="B2" s="1" t="s">
        <v>54</v>
      </c>
    </row>
    <row r="4" customFormat="false" ht="33.75" hidden="false" customHeight="true" outlineLevel="0" collapsed="false">
      <c r="B4" s="6" t="s">
        <v>55</v>
      </c>
      <c r="C4" s="6"/>
      <c r="D4" s="6"/>
      <c r="E4" s="6"/>
      <c r="F4" s="6"/>
      <c r="G4" s="6"/>
    </row>
    <row r="6" customFormat="false" ht="15" hidden="false" customHeight="false" outlineLevel="0" collapsed="false">
      <c r="B6" s="3" t="s">
        <v>56</v>
      </c>
    </row>
    <row r="7" customFormat="false" ht="27.75" hidden="false" customHeight="true" outlineLevel="0" collapsed="false">
      <c r="B7" s="7"/>
      <c r="C7" s="7" t="s">
        <v>57</v>
      </c>
      <c r="G7" s="7" t="s">
        <v>19</v>
      </c>
    </row>
    <row r="8" customFormat="false" ht="15" hidden="false" customHeight="false" outlineLevel="0" collapsed="false">
      <c r="B8" s="8" t="s">
        <v>58</v>
      </c>
      <c r="C8" s="16" t="n">
        <v>0.8</v>
      </c>
      <c r="G8" s="5" t="s">
        <v>59</v>
      </c>
    </row>
    <row r="9" customFormat="false" ht="15" hidden="false" customHeight="false" outlineLevel="0" collapsed="false">
      <c r="B9" s="8" t="s">
        <v>60</v>
      </c>
      <c r="C9" s="16" t="n">
        <v>0.3</v>
      </c>
      <c r="G9" s="5" t="s">
        <v>61</v>
      </c>
    </row>
    <row r="10" customFormat="false" ht="15" hidden="false" customHeight="false" outlineLevel="0" collapsed="false">
      <c r="B10" s="8" t="s">
        <v>62</v>
      </c>
      <c r="C10" s="16" t="n">
        <v>0.5</v>
      </c>
      <c r="G10" s="5" t="s">
        <v>63</v>
      </c>
    </row>
    <row r="11" customFormat="false" ht="15" hidden="false" customHeight="false" outlineLevel="0" collapsed="false">
      <c r="B11" s="8" t="s">
        <v>64</v>
      </c>
      <c r="C11" s="16" t="n">
        <v>0.9</v>
      </c>
      <c r="G11" s="5" t="s">
        <v>65</v>
      </c>
    </row>
    <row r="12" customFormat="false" ht="15" hidden="false" customHeight="false" outlineLevel="0" collapsed="false">
      <c r="B12" s="8" t="s">
        <v>66</v>
      </c>
      <c r="C12" s="16" t="n">
        <v>0.5</v>
      </c>
      <c r="G12" s="5" t="s">
        <v>67</v>
      </c>
    </row>
    <row r="13" customFormat="false" ht="15" hidden="false" customHeight="false" outlineLevel="0" collapsed="false">
      <c r="B13" s="8" t="s">
        <v>68</v>
      </c>
      <c r="C13" s="17" t="n">
        <v>2</v>
      </c>
      <c r="G13" s="5" t="s">
        <v>69</v>
      </c>
    </row>
    <row r="15" customFormat="false" ht="15" hidden="false" customHeight="false" outlineLevel="0" collapsed="false">
      <c r="B15" s="3" t="s">
        <v>70</v>
      </c>
    </row>
    <row r="16" customFormat="false" ht="27.75" hidden="false" customHeight="true" outlineLevel="0" collapsed="false">
      <c r="B16" s="7"/>
      <c r="C16" s="7" t="s">
        <v>57</v>
      </c>
      <c r="G16" s="7" t="s">
        <v>38</v>
      </c>
    </row>
    <row r="17" customFormat="false" ht="15" hidden="false" customHeight="false" outlineLevel="0" collapsed="false">
      <c r="B17" s="8" t="s">
        <v>71</v>
      </c>
      <c r="C17" s="13" t="n">
        <f aca="false">$C$9</f>
        <v>0.3</v>
      </c>
      <c r="G17" s="5"/>
    </row>
    <row r="18" customFormat="false" ht="15" hidden="false" customHeight="false" outlineLevel="0" collapsed="false">
      <c r="B18" s="8" t="s">
        <v>72</v>
      </c>
      <c r="C18" s="13" t="n">
        <f aca="false">$C$10*$C$11</f>
        <v>0.45</v>
      </c>
      <c r="G18" s="5" t="s">
        <v>73</v>
      </c>
    </row>
    <row r="19" customFormat="false" ht="15" hidden="false" customHeight="false" outlineLevel="0" collapsed="false">
      <c r="B19" s="8" t="s">
        <v>74</v>
      </c>
      <c r="C19" s="13" t="n">
        <f aca="false">$C$9+$C$10*$C$11</f>
        <v>0.75</v>
      </c>
      <c r="G19" s="5" t="s">
        <v>75</v>
      </c>
    </row>
    <row r="20" customFormat="false" ht="15" hidden="false" customHeight="false" outlineLevel="0" collapsed="false">
      <c r="B20" s="8" t="s">
        <v>76</v>
      </c>
      <c r="C20" s="13" t="n">
        <f aca="false">$C$9+$C$10*$C$11-$C$8</f>
        <v>-0.05</v>
      </c>
      <c r="G20" s="5"/>
    </row>
    <row r="21" customFormat="false" ht="15" hidden="false" customHeight="false" outlineLevel="0" collapsed="false">
      <c r="B21" s="8" t="s">
        <v>77</v>
      </c>
      <c r="C21" s="13" t="n">
        <f aca="false">$C$9+$C$10*$C$11-$C$12</f>
        <v>0.25</v>
      </c>
      <c r="G21" s="5" t="s">
        <v>78</v>
      </c>
    </row>
    <row r="22" customFormat="false" ht="15" hidden="false" customHeight="false" outlineLevel="0" collapsed="false">
      <c r="B22" s="8" t="s">
        <v>79</v>
      </c>
      <c r="C22" s="13" t="n">
        <f aca="false">IFERROR(($C$9+$C$10*$C$11)/$C$12-1,0)</f>
        <v>0.5</v>
      </c>
      <c r="G22" s="5" t="s">
        <v>80</v>
      </c>
    </row>
    <row r="23" customFormat="false" ht="15" hidden="false" customHeight="false" outlineLevel="0" collapsed="false">
      <c r="B23" s="8" t="s">
        <v>81</v>
      </c>
      <c r="C23" s="18" t="n">
        <f aca="false">IFERROR((($C$9+$C$10*$C$11)/$C$12)^(1/$C$13)-1,0)</f>
        <v>0.224744871391589</v>
      </c>
      <c r="G23" s="5" t="s">
        <v>82</v>
      </c>
    </row>
    <row r="25" customFormat="false" ht="15" hidden="false" customHeight="false" outlineLevel="0" collapsed="false">
      <c r="B25" s="3" t="s">
        <v>83</v>
      </c>
    </row>
    <row r="26" customFormat="false" ht="39.75" hidden="false" customHeight="true" outlineLevel="0" collapsed="false">
      <c r="B26" s="15" t="s">
        <v>84</v>
      </c>
      <c r="C26" s="15"/>
      <c r="D26" s="15"/>
      <c r="E26" s="15"/>
      <c r="F26" s="15"/>
      <c r="G26" s="15"/>
    </row>
    <row r="28" customFormat="false" ht="27.75" hidden="false" customHeight="true" outlineLevel="0" collapsed="false">
      <c r="B28" s="7" t="s">
        <v>85</v>
      </c>
      <c r="C28" s="7" t="s">
        <v>86</v>
      </c>
      <c r="D28" s="7" t="s">
        <v>35</v>
      </c>
      <c r="E28" s="7" t="s">
        <v>79</v>
      </c>
      <c r="F28" s="7" t="s">
        <v>87</v>
      </c>
      <c r="G28" s="7" t="s">
        <v>88</v>
      </c>
    </row>
    <row r="29" customFormat="false" ht="15" hidden="false" customHeight="false" outlineLevel="0" collapsed="false">
      <c r="B29" s="17" t="n">
        <v>1</v>
      </c>
      <c r="C29" s="16" t="n">
        <v>0.48</v>
      </c>
      <c r="D29" s="16" t="n">
        <v>0.8</v>
      </c>
      <c r="E29" s="13" t="n">
        <f aca="false">IFERROR(D29/C29-1,0)</f>
        <v>0.666666666666667</v>
      </c>
      <c r="F29" s="18" t="n">
        <f aca="false">IFERROR((D29/C29)^(1/B29)-1,0)</f>
        <v>0.666666666666667</v>
      </c>
      <c r="G29" s="5" t="s">
        <v>89</v>
      </c>
    </row>
    <row r="30" customFormat="false" ht="15" hidden="false" customHeight="false" outlineLevel="0" collapsed="false">
      <c r="B30" s="17" t="n">
        <v>2</v>
      </c>
      <c r="C30" s="16" t="n">
        <v>0.48</v>
      </c>
      <c r="D30" s="16" t="n">
        <v>0.8</v>
      </c>
      <c r="E30" s="13" t="n">
        <f aca="false">IFERROR(D30/C30-1,0)</f>
        <v>0.666666666666667</v>
      </c>
      <c r="F30" s="18" t="n">
        <f aca="false">IFERROR((D30/C30)^(1/B30)-1,0)</f>
        <v>0.290994448735806</v>
      </c>
      <c r="G30" s="5"/>
    </row>
    <row r="31" customFormat="false" ht="15" hidden="false" customHeight="false" outlineLevel="0" collapsed="false">
      <c r="B31" s="17" t="n">
        <v>3</v>
      </c>
      <c r="C31" s="16" t="n">
        <v>0.48</v>
      </c>
      <c r="D31" s="16" t="n">
        <v>0.8</v>
      </c>
      <c r="E31" s="13" t="n">
        <f aca="false">IFERROR(D31/C31-1,0)</f>
        <v>0.666666666666667</v>
      </c>
      <c r="F31" s="18" t="n">
        <f aca="false">IFERROR((D31/C31)^(1/B31)-1,0)</f>
        <v>0.185631101496688</v>
      </c>
      <c r="G31" s="5" t="s">
        <v>90</v>
      </c>
    </row>
    <row r="32" customFormat="false" ht="15" hidden="false" customHeight="false" outlineLevel="0" collapsed="false">
      <c r="B32" s="17" t="n">
        <v>4</v>
      </c>
      <c r="C32" s="16" t="n">
        <v>0.48</v>
      </c>
      <c r="D32" s="16" t="n">
        <v>0.8</v>
      </c>
      <c r="E32" s="13" t="n">
        <f aca="false">IFERROR(D32/C32-1,0)</f>
        <v>0.666666666666667</v>
      </c>
      <c r="F32" s="18" t="n">
        <f aca="false">IFERROR((D32/C32)^(1/B32)-1,0)</f>
        <v>0.136219366467499</v>
      </c>
      <c r="G32" s="5"/>
    </row>
    <row r="33" customFormat="false" ht="15" hidden="false" customHeight="false" outlineLevel="0" collapsed="false">
      <c r="B33" s="17" t="n">
        <v>5</v>
      </c>
      <c r="C33" s="16" t="n">
        <v>0.48</v>
      </c>
      <c r="D33" s="16" t="n">
        <v>0.8</v>
      </c>
      <c r="E33" s="13" t="n">
        <f aca="false">IFERROR(D33/C33-1,0)</f>
        <v>0.666666666666667</v>
      </c>
      <c r="F33" s="18" t="n">
        <f aca="false">IFERROR((D33/C33)^(1/B33)-1,0)</f>
        <v>0.10756634324829</v>
      </c>
      <c r="G33" s="5" t="s">
        <v>91</v>
      </c>
    </row>
    <row r="35" customFormat="false" ht="15" hidden="false" customHeight="false" outlineLevel="0" collapsed="false">
      <c r="B35" s="3" t="s">
        <v>92</v>
      </c>
    </row>
    <row r="36" customFormat="false" ht="27.75" hidden="false" customHeight="true" outlineLevel="0" collapsed="false">
      <c r="B36" s="7" t="s">
        <v>93</v>
      </c>
      <c r="C36" s="7" t="s">
        <v>94</v>
      </c>
      <c r="D36" s="7" t="s">
        <v>95</v>
      </c>
      <c r="G36" s="7"/>
    </row>
    <row r="37" customFormat="false" ht="15" hidden="false" customHeight="false" outlineLevel="0" collapsed="false">
      <c r="B37" s="17" t="n">
        <v>1</v>
      </c>
      <c r="C37" s="18" t="n">
        <f aca="false">IFERROR((($C$9+$C$10*$C$11)/$C$12)^(1/B37)-1,0)</f>
        <v>0.5</v>
      </c>
      <c r="D37" s="18" t="n">
        <f aca="false">IFERROR(($C$8/$C$12)^(1/B37)-1,0)</f>
        <v>0.6</v>
      </c>
      <c r="G37" s="8" t="str">
        <f aca="false">IF(C37&lt;0.1,"Below a credit hurdle — the recovery was right and the trade still failed","")</f>
        <v/>
      </c>
    </row>
    <row r="38" customFormat="false" ht="15" hidden="false" customHeight="false" outlineLevel="0" collapsed="false">
      <c r="B38" s="17" t="n">
        <v>2</v>
      </c>
      <c r="C38" s="18" t="n">
        <f aca="false">IFERROR((($C$9+$C$10*$C$11)/$C$12)^(1/B38)-1,0)</f>
        <v>0.224744871391589</v>
      </c>
      <c r="D38" s="18" t="n">
        <f aca="false">IFERROR(($C$8/$C$12)^(1/B38)-1,0)</f>
        <v>0.264911064067352</v>
      </c>
      <c r="G38" s="8" t="str">
        <f aca="false">IF(C38&lt;0.1,"Below a credit hurdle — the recovery was right and the trade still failed","")</f>
        <v/>
      </c>
    </row>
    <row r="39" customFormat="false" ht="15" hidden="false" customHeight="false" outlineLevel="0" collapsed="false">
      <c r="B39" s="17" t="n">
        <v>3</v>
      </c>
      <c r="C39" s="18" t="n">
        <f aca="false">IFERROR((($C$9+$C$10*$C$11)/$C$12)^(1/B39)-1,0)</f>
        <v>0.144714242553332</v>
      </c>
      <c r="D39" s="18" t="n">
        <f aca="false">IFERROR(($C$8/$C$12)^(1/B39)-1,0)</f>
        <v>0.169607095285147</v>
      </c>
      <c r="G39" s="8" t="str">
        <f aca="false">IF(C39&lt;0.1,"Below a credit hurdle — the recovery was right and the trade still failed","")</f>
        <v/>
      </c>
    </row>
    <row r="40" customFormat="false" ht="15" hidden="false" customHeight="false" outlineLevel="0" collapsed="false">
      <c r="B40" s="17" t="n">
        <v>4</v>
      </c>
      <c r="C40" s="18" t="n">
        <f aca="false">IFERROR((($C$9+$C$10*$C$11)/$C$12)^(1/B40)-1,0)</f>
        <v>0.106681919700321</v>
      </c>
      <c r="D40" s="18" t="n">
        <f aca="false">IFERROR(($C$8/$C$12)^(1/B40)-1,0)</f>
        <v>0.124682650380698</v>
      </c>
      <c r="G40" s="8" t="str">
        <f aca="false">IF(C40&lt;0.1,"Below a credit hurdle — the recovery was right and the trade still failed","")</f>
        <v/>
      </c>
    </row>
    <row r="41" customFormat="false" ht="15" hidden="false" customHeight="false" outlineLevel="0" collapsed="false">
      <c r="B41" s="17" t="n">
        <v>5</v>
      </c>
      <c r="C41" s="18" t="n">
        <f aca="false">IFERROR((($C$9+$C$10*$C$11)/$C$12)^(1/B41)-1,0)</f>
        <v>0.0844717711976986</v>
      </c>
      <c r="D41" s="18" t="n">
        <f aca="false">IFERROR(($C$8/$C$12)^(1/B41)-1,0)</f>
        <v>0.0985605433061179</v>
      </c>
      <c r="G41" s="8" t="str">
        <f aca="false">IF(C41&lt;0.1,"Below a credit hurdle — the recovery was right and the trade still failed","")</f>
        <v>Below a credit hurdle — the recovery was right and the trade still failed</v>
      </c>
    </row>
    <row r="42" customFormat="false" ht="15" hidden="false" customHeight="false" outlineLevel="0" collapsed="false">
      <c r="B42" s="17" t="n">
        <v>6</v>
      </c>
      <c r="C42" s="18" t="n">
        <f aca="false">IFERROR((($C$9+$C$10*$C$11)/$C$12)^(1/B42)-1,0)</f>
        <v>0.069913193933663</v>
      </c>
      <c r="D42" s="18" t="n">
        <f aca="false">IFERROR(($C$8/$C$12)^(1/B42)-1,0)</f>
        <v>0.081483747120199</v>
      </c>
      <c r="G42" s="8" t="str">
        <f aca="false">IF(C42&lt;0.1,"Below a credit hurdle — the recovery was right and the trade still failed","")</f>
        <v>Below a credit hurdle — the recovery was right and the trade still failed</v>
      </c>
    </row>
  </sheetData>
  <mergeCells count="2">
    <mergeCell ref="B4:G4"/>
    <mergeCell ref="B26:G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6" min="3" style="0" width="15"/>
    <col collapsed="false" customWidth="true" hidden="false" outlineLevel="0" max="7" min="7" style="0" width="52"/>
  </cols>
  <sheetData>
    <row r="2" customFormat="false" ht="17.35" hidden="false" customHeight="false" outlineLevel="0" collapsed="false">
      <c r="B2" s="1" t="s">
        <v>96</v>
      </c>
    </row>
    <row r="4" customFormat="false" ht="39.75" hidden="false" customHeight="true" outlineLevel="0" collapsed="false">
      <c r="B4" s="6" t="s">
        <v>97</v>
      </c>
      <c r="C4" s="6"/>
      <c r="D4" s="6"/>
      <c r="E4" s="6"/>
      <c r="F4" s="6"/>
      <c r="G4" s="6"/>
    </row>
    <row r="6" customFormat="false" ht="15" hidden="false" customHeight="false" outlineLevel="0" collapsed="false">
      <c r="B6" s="3" t="s">
        <v>98</v>
      </c>
    </row>
    <row r="7" customFormat="false" ht="27.75" hidden="false" customHeight="true" outlineLevel="0" collapsed="false">
      <c r="B7" s="7"/>
      <c r="C7" s="7" t="s">
        <v>57</v>
      </c>
      <c r="G7" s="7" t="s">
        <v>19</v>
      </c>
    </row>
    <row r="8" customFormat="false" ht="15" hidden="false" customHeight="false" outlineLevel="0" collapsed="false">
      <c r="B8" s="8" t="s">
        <v>99</v>
      </c>
      <c r="C8" s="9" t="n">
        <v>100</v>
      </c>
      <c r="G8" s="5" t="s">
        <v>100</v>
      </c>
    </row>
    <row r="9" customFormat="false" ht="15" hidden="false" customHeight="false" outlineLevel="0" collapsed="false">
      <c r="B9" s="8" t="s">
        <v>39</v>
      </c>
      <c r="C9" s="9" t="n">
        <v>400</v>
      </c>
      <c r="G9" s="5"/>
    </row>
    <row r="10" customFormat="false" ht="15" hidden="false" customHeight="false" outlineLevel="0" collapsed="false">
      <c r="B10" s="8" t="s">
        <v>41</v>
      </c>
      <c r="C10" s="9" t="n">
        <v>200</v>
      </c>
      <c r="G10" s="5"/>
    </row>
    <row r="11" customFormat="false" ht="15" hidden="false" customHeight="false" outlineLevel="0" collapsed="false">
      <c r="B11" s="8" t="s">
        <v>43</v>
      </c>
      <c r="C11" s="9" t="n">
        <v>300</v>
      </c>
      <c r="G11" s="5"/>
    </row>
    <row r="13" customFormat="false" ht="27.75" hidden="false" customHeight="true" outlineLevel="0" collapsed="false">
      <c r="B13" s="7"/>
      <c r="C13" s="7" t="s">
        <v>101</v>
      </c>
      <c r="D13" s="7" t="s">
        <v>102</v>
      </c>
      <c r="E13" s="7" t="s">
        <v>103</v>
      </c>
      <c r="G13" s="7" t="s">
        <v>38</v>
      </c>
    </row>
    <row r="14" customFormat="false" ht="15" hidden="false" customHeight="false" outlineLevel="0" collapsed="false">
      <c r="B14" s="8" t="s">
        <v>104</v>
      </c>
      <c r="C14" s="19" t="n">
        <v>6</v>
      </c>
      <c r="D14" s="19" t="n">
        <v>7</v>
      </c>
      <c r="E14" s="19" t="n">
        <v>8</v>
      </c>
    </row>
    <row r="15" customFormat="false" ht="22.35" hidden="false" customHeight="false" outlineLevel="0" collapsed="false">
      <c r="B15" s="8" t="s">
        <v>105</v>
      </c>
      <c r="C15" s="10" t="n">
        <f aca="false">$C$8*C$14</f>
        <v>600</v>
      </c>
      <c r="D15" s="10" t="n">
        <f aca="false">$C$8*D$14</f>
        <v>700</v>
      </c>
      <c r="E15" s="10" t="n">
        <f aca="false">$C$8*E$14</f>
        <v>800</v>
      </c>
      <c r="G15" s="5" t="s">
        <v>106</v>
      </c>
    </row>
    <row r="16" customFormat="false" ht="15" hidden="false" customHeight="false" outlineLevel="0" collapsed="false">
      <c r="B16" s="8" t="s">
        <v>107</v>
      </c>
      <c r="C16" s="13" t="n">
        <f aca="false">IFERROR(MIN($C$9,MAX(0,C$15-(0)))/$C$9,0)</f>
        <v>1</v>
      </c>
      <c r="D16" s="13" t="n">
        <f aca="false">IFERROR(MIN($C$9,MAX(0,D$15-(0)))/$C$9,0)</f>
        <v>1</v>
      </c>
      <c r="E16" s="13" t="n">
        <f aca="false">IFERROR(MIN($C$9,MAX(0,E$15-(0)))/$C$9,0)</f>
        <v>1</v>
      </c>
      <c r="G16" s="5" t="s">
        <v>108</v>
      </c>
    </row>
    <row r="17" customFormat="false" ht="15" hidden="false" customHeight="false" outlineLevel="0" collapsed="false">
      <c r="B17" s="8" t="s">
        <v>109</v>
      </c>
      <c r="C17" s="13" t="n">
        <f aca="false">IFERROR(MIN($C$10,MAX(0,C$15-($C$9)))/$C$10,0)</f>
        <v>1</v>
      </c>
      <c r="D17" s="13" t="n">
        <f aca="false">IFERROR(MIN($C$10,MAX(0,D$15-($C$9)))/$C$10,0)</f>
        <v>1</v>
      </c>
      <c r="E17" s="13" t="n">
        <f aca="false">IFERROR(MIN($C$10,MAX(0,E$15-($C$9)))/$C$10,0)</f>
        <v>1</v>
      </c>
      <c r="G17" s="5" t="s">
        <v>110</v>
      </c>
    </row>
    <row r="18" customFormat="false" ht="22.35" hidden="false" customHeight="false" outlineLevel="0" collapsed="false">
      <c r="B18" s="8" t="s">
        <v>111</v>
      </c>
      <c r="C18" s="13" t="n">
        <f aca="false">IFERROR(MIN($C$11,MAX(0,C$15-($C$9+$C$10)))/$C$11,0)</f>
        <v>0</v>
      </c>
      <c r="D18" s="13" t="n">
        <f aca="false">IFERROR(MIN($C$11,MAX(0,D$15-($C$9+$C$10)))/$C$11,0)</f>
        <v>0.333333333333333</v>
      </c>
      <c r="E18" s="13" t="n">
        <f aca="false">IFERROR(MIN($C$11,MAX(0,E$15-($C$9+$C$10)))/$C$11,0)</f>
        <v>0.666666666666667</v>
      </c>
      <c r="G18" s="5" t="s">
        <v>112</v>
      </c>
    </row>
    <row r="20" customFormat="false" ht="31.5" hidden="false" customHeight="true" outlineLevel="0" collapsed="false">
      <c r="B20" s="15" t="s">
        <v>113</v>
      </c>
      <c r="C20" s="15"/>
      <c r="D20" s="15"/>
      <c r="E20" s="15"/>
      <c r="F20" s="15"/>
      <c r="G20" s="15"/>
    </row>
    <row r="22" customFormat="false" ht="26.85" hidden="false" customHeight="false" outlineLevel="0" collapsed="false">
      <c r="B22" s="3" t="s">
        <v>114</v>
      </c>
    </row>
    <row r="23" customFormat="false" ht="27.75" hidden="false" customHeight="true" outlineLevel="0" collapsed="false">
      <c r="B23" s="7"/>
      <c r="C23" s="7" t="s">
        <v>101</v>
      </c>
      <c r="D23" s="7" t="s">
        <v>102</v>
      </c>
      <c r="E23" s="7" t="s">
        <v>103</v>
      </c>
      <c r="G23" s="7"/>
    </row>
    <row r="24" customFormat="false" ht="15" hidden="false" customHeight="false" outlineLevel="0" collapsed="false">
      <c r="B24" s="8" t="s">
        <v>115</v>
      </c>
      <c r="C24" s="16" t="n">
        <v>0.3</v>
      </c>
      <c r="D24" s="16" t="n">
        <v>0.3</v>
      </c>
      <c r="E24" s="16" t="n">
        <v>0.3</v>
      </c>
    </row>
    <row r="25" customFormat="false" ht="15" hidden="false" customHeight="false" outlineLevel="0" collapsed="false">
      <c r="B25" s="8" t="s">
        <v>35</v>
      </c>
      <c r="C25" s="13" t="n">
        <f aca="false">C$18</f>
        <v>0</v>
      </c>
      <c r="D25" s="13" t="n">
        <f aca="false">D$18</f>
        <v>0.333333333333333</v>
      </c>
      <c r="E25" s="13" t="n">
        <f aca="false">E$18</f>
        <v>0.666666666666667</v>
      </c>
    </row>
    <row r="26" customFormat="false" ht="15" hidden="false" customHeight="false" outlineLevel="0" collapsed="false">
      <c r="B26" s="11" t="s">
        <v>116</v>
      </c>
      <c r="C26" s="20" t="n">
        <f aca="false">IFERROR(C$25/C$24-1,0)</f>
        <v>-1</v>
      </c>
      <c r="D26" s="20" t="n">
        <f aca="false">IFERROR(D$25/D$24-1,0)</f>
        <v>0.111111111111111</v>
      </c>
      <c r="E26" s="20" t="n">
        <f aca="false">IFERROR(E$25/E$24-1,0)</f>
        <v>1.22222222222222</v>
      </c>
      <c r="G26" s="5" t="s">
        <v>117</v>
      </c>
    </row>
  </sheetData>
  <mergeCells count="2">
    <mergeCell ref="B4:G4"/>
    <mergeCell ref="B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6" min="3" style="0" width="15"/>
    <col collapsed="false" customWidth="true" hidden="false" outlineLevel="0" max="7" min="7" style="0" width="52"/>
  </cols>
  <sheetData>
    <row r="2" customFormat="false" ht="32.8" hidden="false" customHeight="false" outlineLevel="0" collapsed="false">
      <c r="B2" s="1" t="s">
        <v>118</v>
      </c>
    </row>
    <row r="4" customFormat="false" ht="33.75" hidden="false" customHeight="true" outlineLevel="0" collapsed="false">
      <c r="B4" s="6" t="s">
        <v>119</v>
      </c>
      <c r="C4" s="6"/>
      <c r="D4" s="6"/>
      <c r="E4" s="6"/>
      <c r="F4" s="6"/>
      <c r="G4" s="6"/>
    </row>
    <row r="6" customFormat="false" ht="15" hidden="false" customHeight="false" outlineLevel="0" collapsed="false">
      <c r="B6" s="3" t="s">
        <v>120</v>
      </c>
    </row>
    <row r="7" customFormat="false" ht="27.75" hidden="false" customHeight="true" outlineLevel="0" collapsed="false">
      <c r="B7" s="7"/>
      <c r="C7" s="7" t="s">
        <v>57</v>
      </c>
      <c r="G7" s="7" t="s">
        <v>19</v>
      </c>
    </row>
    <row r="8" customFormat="false" ht="15" hidden="false" customHeight="false" outlineLevel="0" collapsed="false">
      <c r="B8" s="8" t="s">
        <v>121</v>
      </c>
      <c r="C8" s="9" t="n">
        <v>100</v>
      </c>
      <c r="G8" s="5" t="s">
        <v>122</v>
      </c>
    </row>
    <row r="9" customFormat="false" ht="15" hidden="false" customHeight="false" outlineLevel="0" collapsed="false">
      <c r="B9" s="8" t="s">
        <v>123</v>
      </c>
      <c r="C9" s="16" t="n">
        <v>0.55</v>
      </c>
      <c r="G9" s="5" t="s">
        <v>124</v>
      </c>
    </row>
    <row r="10" customFormat="false" ht="15" hidden="false" customHeight="false" outlineLevel="0" collapsed="false">
      <c r="B10" s="8" t="s">
        <v>125</v>
      </c>
      <c r="C10" s="16" t="n">
        <v>0.8</v>
      </c>
      <c r="G10" s="5" t="s">
        <v>126</v>
      </c>
    </row>
    <row r="11" customFormat="false" ht="15" hidden="false" customHeight="false" outlineLevel="0" collapsed="false">
      <c r="B11" s="8" t="s">
        <v>85</v>
      </c>
      <c r="C11" s="17" t="n">
        <v>2</v>
      </c>
      <c r="G11" s="5" t="s">
        <v>127</v>
      </c>
    </row>
    <row r="12" customFormat="false" ht="15" hidden="false" customHeight="false" outlineLevel="0" collapsed="false">
      <c r="B12" s="8" t="s">
        <v>128</v>
      </c>
      <c r="C12" s="13" t="n">
        <f aca="false">$C$10-$C$9</f>
        <v>0.25</v>
      </c>
      <c r="G12" s="5" t="s">
        <v>129</v>
      </c>
    </row>
    <row r="13" customFormat="false" ht="15" hidden="false" customHeight="false" outlineLevel="0" collapsed="false">
      <c r="B13" s="8" t="s">
        <v>116</v>
      </c>
      <c r="C13" s="13" t="n">
        <f aca="false">IFERROR($C$10/$C$9-1,0)</f>
        <v>0.454545454545455</v>
      </c>
      <c r="G13" s="5" t="s">
        <v>130</v>
      </c>
    </row>
    <row r="14" customFormat="false" ht="15" hidden="false" customHeight="false" outlineLevel="0" collapsed="false">
      <c r="B14" s="8" t="s">
        <v>81</v>
      </c>
      <c r="C14" s="18" t="n">
        <f aca="false">IFERROR(($C$10/$C$9)^(1/$C$11)-1,0)</f>
        <v>0.206045378311055</v>
      </c>
      <c r="G14" s="5" t="s">
        <v>131</v>
      </c>
    </row>
    <row r="15" customFormat="false" ht="15" hidden="false" customHeight="false" outlineLevel="0" collapsed="false">
      <c r="B15" s="8" t="s">
        <v>132</v>
      </c>
      <c r="C15" s="13" t="n">
        <f aca="false">$C$9</f>
        <v>0.55</v>
      </c>
      <c r="G15" s="5" t="s">
        <v>133</v>
      </c>
    </row>
    <row r="16" customFormat="false" ht="15" hidden="false" customHeight="false" outlineLevel="0" collapsed="false">
      <c r="B16" s="8" t="s">
        <v>134</v>
      </c>
      <c r="C16" s="13" t="n">
        <f aca="false">$C$10-$C$9</f>
        <v>0.25</v>
      </c>
      <c r="G16" s="5" t="s">
        <v>135</v>
      </c>
    </row>
    <row r="18" customFormat="false" ht="27.75" hidden="false" customHeight="true" outlineLevel="0" collapsed="false">
      <c r="B18" s="7" t="s">
        <v>136</v>
      </c>
      <c r="C18" s="7" t="s">
        <v>137</v>
      </c>
      <c r="D18" s="7" t="s">
        <v>138</v>
      </c>
      <c r="G18" s="7" t="s">
        <v>38</v>
      </c>
    </row>
    <row r="19" customFormat="false" ht="15" hidden="false" customHeight="false" outlineLevel="0" collapsed="false">
      <c r="B19" s="16" t="n">
        <v>0.8</v>
      </c>
      <c r="C19" s="13" t="n">
        <f aca="false">B19-$C$9</f>
        <v>0.25</v>
      </c>
      <c r="D19" s="13" t="n">
        <f aca="false">IFERROR(B19/$C$9-1,0)</f>
        <v>0.454545454545455</v>
      </c>
      <c r="G19" s="5" t="s">
        <v>139</v>
      </c>
    </row>
    <row r="20" customFormat="false" ht="15" hidden="false" customHeight="false" outlineLevel="0" collapsed="false">
      <c r="B20" s="16" t="n">
        <v>0.6</v>
      </c>
      <c r="C20" s="13" t="n">
        <f aca="false">B20-$C$9</f>
        <v>0.0499999999999999</v>
      </c>
      <c r="D20" s="13" t="n">
        <f aca="false">IFERROR(B20/$C$9-1,0)</f>
        <v>0.0909090909090908</v>
      </c>
      <c r="G20" s="5" t="s">
        <v>140</v>
      </c>
    </row>
    <row r="21" customFormat="false" ht="15" hidden="false" customHeight="false" outlineLevel="0" collapsed="false">
      <c r="B21" s="16" t="n">
        <v>0.55</v>
      </c>
      <c r="C21" s="13" t="n">
        <f aca="false">B21-$C$9</f>
        <v>0</v>
      </c>
      <c r="D21" s="13" t="n">
        <f aca="false">IFERROR(B21/$C$9-1,0)</f>
        <v>0</v>
      </c>
      <c r="G21" s="5" t="s">
        <v>141</v>
      </c>
    </row>
    <row r="22" customFormat="false" ht="15" hidden="false" customHeight="false" outlineLevel="0" collapsed="false">
      <c r="B22" s="16" t="n">
        <v>0.45</v>
      </c>
      <c r="C22" s="13" t="n">
        <f aca="false">B22-$C$9</f>
        <v>-0.1</v>
      </c>
      <c r="D22" s="13" t="n">
        <f aca="false">IFERROR(B22/$C$9-1,0)</f>
        <v>-0.181818181818182</v>
      </c>
      <c r="G22" s="5" t="s">
        <v>142</v>
      </c>
    </row>
    <row r="24" customFormat="false" ht="15" hidden="false" customHeight="false" outlineLevel="0" collapsed="false">
      <c r="B24" s="3" t="s">
        <v>143</v>
      </c>
    </row>
    <row r="25" customFormat="false" ht="27.75" hidden="false" customHeight="true" outlineLevel="0" collapsed="false">
      <c r="B25" s="7" t="s">
        <v>144</v>
      </c>
      <c r="C25" s="7" t="s">
        <v>145</v>
      </c>
      <c r="D25" s="7" t="s">
        <v>146</v>
      </c>
      <c r="G25" s="7"/>
    </row>
    <row r="26" customFormat="false" ht="15" hidden="false" customHeight="false" outlineLevel="0" collapsed="false">
      <c r="B26" s="16" t="n">
        <v>0.45</v>
      </c>
      <c r="C26" s="13" t="n">
        <f aca="false">$C$10-B26</f>
        <v>0.35</v>
      </c>
      <c r="D26" s="13" t="n">
        <f aca="false">B26</f>
        <v>0.45</v>
      </c>
      <c r="G26" s="5"/>
    </row>
    <row r="27" customFormat="false" ht="22.35" hidden="false" customHeight="false" outlineLevel="0" collapsed="false">
      <c r="B27" s="16" t="n">
        <v>0.55</v>
      </c>
      <c r="C27" s="13" t="n">
        <f aca="false">$C$10-B27</f>
        <v>0.25</v>
      </c>
      <c r="D27" s="13" t="n">
        <f aca="false">B27</f>
        <v>0.55</v>
      </c>
      <c r="G27" s="5" t="s">
        <v>147</v>
      </c>
    </row>
    <row r="28" customFormat="false" ht="15" hidden="false" customHeight="false" outlineLevel="0" collapsed="false">
      <c r="B28" s="16" t="n">
        <v>0.65</v>
      </c>
      <c r="C28" s="13" t="n">
        <f aca="false">$C$10-B28</f>
        <v>0.15</v>
      </c>
      <c r="D28" s="13" t="n">
        <f aca="false">B28</f>
        <v>0.65</v>
      </c>
      <c r="G28" s="5"/>
    </row>
    <row r="29" customFormat="false" ht="22.35" hidden="false" customHeight="false" outlineLevel="0" collapsed="false">
      <c r="B29" s="16" t="n">
        <v>0.75</v>
      </c>
      <c r="C29" s="13" t="n">
        <f aca="false">$C$10-B29</f>
        <v>0.05</v>
      </c>
      <c r="D29" s="13" t="n">
        <f aca="false">B29</f>
        <v>0.75</v>
      </c>
      <c r="G29" s="5" t="s">
        <v>148</v>
      </c>
    </row>
    <row r="32" customFormat="false" ht="15" hidden="false" customHeight="false" outlineLevel="0" collapsed="false">
      <c r="B32" s="3" t="s">
        <v>149</v>
      </c>
    </row>
    <row r="33" customFormat="false" ht="27.75" hidden="false" customHeight="true" outlineLevel="0" collapsed="false">
      <c r="B33" s="7"/>
      <c r="C33" s="7" t="s">
        <v>57</v>
      </c>
      <c r="G33" s="7" t="s">
        <v>19</v>
      </c>
    </row>
    <row r="34" customFormat="false" ht="15" hidden="false" customHeight="false" outlineLevel="0" collapsed="false">
      <c r="B34" s="8" t="s">
        <v>150</v>
      </c>
      <c r="C34" s="9" t="n">
        <v>200</v>
      </c>
      <c r="G34" s="5" t="s">
        <v>151</v>
      </c>
    </row>
    <row r="35" customFormat="false" ht="15" hidden="false" customHeight="false" outlineLevel="0" collapsed="false">
      <c r="B35" s="8" t="s">
        <v>43</v>
      </c>
      <c r="C35" s="9" t="n">
        <v>150</v>
      </c>
      <c r="G35" s="5" t="s">
        <v>152</v>
      </c>
    </row>
    <row r="36" customFormat="false" ht="15" hidden="false" customHeight="false" outlineLevel="0" collapsed="false">
      <c r="B36" s="8" t="s">
        <v>153</v>
      </c>
      <c r="C36" s="9" t="n">
        <v>300</v>
      </c>
      <c r="G36" s="5" t="s">
        <v>154</v>
      </c>
    </row>
    <row r="37" customFormat="false" ht="15" hidden="false" customHeight="false" outlineLevel="0" collapsed="false">
      <c r="B37" s="8" t="s">
        <v>155</v>
      </c>
      <c r="C37" s="16" t="n">
        <v>0.45</v>
      </c>
      <c r="G37" s="5" t="s">
        <v>156</v>
      </c>
    </row>
    <row r="38" customFormat="false" ht="15" hidden="false" customHeight="false" outlineLevel="0" collapsed="false">
      <c r="B38" s="8" t="s">
        <v>157</v>
      </c>
      <c r="C38" s="16" t="n">
        <v>0.9</v>
      </c>
      <c r="G38" s="5" t="s">
        <v>158</v>
      </c>
    </row>
    <row r="39" customFormat="false" ht="15" hidden="false" customHeight="false" outlineLevel="0" collapsed="false">
      <c r="B39" s="8" t="s">
        <v>159</v>
      </c>
      <c r="C39" s="10" t="n">
        <f aca="false">MAX(0,$C$36-$C$34)</f>
        <v>100</v>
      </c>
      <c r="G39" s="5" t="s">
        <v>160</v>
      </c>
    </row>
    <row r="40" customFormat="false" ht="15" hidden="false" customHeight="false" outlineLevel="0" collapsed="false">
      <c r="B40" s="8" t="s">
        <v>161</v>
      </c>
      <c r="C40" s="13" t="n">
        <f aca="false">IFERROR(MIN($C$35,MAX(0,$C$36-$C$34))/$C$35,0)</f>
        <v>0.666666666666667</v>
      </c>
      <c r="G40" s="5" t="s">
        <v>162</v>
      </c>
    </row>
    <row r="41" customFormat="false" ht="15" hidden="false" customHeight="false" outlineLevel="0" collapsed="false">
      <c r="B41" s="8" t="s">
        <v>163</v>
      </c>
      <c r="C41" s="10" t="n">
        <f aca="false">$C$35*$C$37</f>
        <v>67.5</v>
      </c>
      <c r="G41" s="5" t="s">
        <v>164</v>
      </c>
    </row>
    <row r="42" customFormat="false" ht="15" hidden="false" customHeight="false" outlineLevel="0" collapsed="false">
      <c r="B42" s="8" t="s">
        <v>165</v>
      </c>
      <c r="C42" s="10" t="n">
        <f aca="false">$C$35*$C$38</f>
        <v>135</v>
      </c>
      <c r="G42" s="5" t="s">
        <v>166</v>
      </c>
    </row>
    <row r="43" customFormat="false" ht="15" hidden="false" customHeight="false" outlineLevel="0" collapsed="false">
      <c r="B43" s="8" t="s">
        <v>167</v>
      </c>
      <c r="C43" s="21" t="n">
        <f aca="false">IFERROR($C$35*$C$38/($C$35*$C$37),0)</f>
        <v>2</v>
      </c>
      <c r="G43" s="5" t="s">
        <v>168</v>
      </c>
    </row>
    <row r="44" customFormat="false" ht="22.35" hidden="false" customHeight="false" outlineLevel="0" collapsed="false">
      <c r="B44" s="8" t="s">
        <v>169</v>
      </c>
      <c r="C44" s="13" t="n">
        <f aca="false">$C$37</f>
        <v>0.45</v>
      </c>
      <c r="G44" s="5" t="s">
        <v>170</v>
      </c>
    </row>
    <row r="46" customFormat="false" ht="15" hidden="false" customHeight="false" outlineLevel="0" collapsed="false">
      <c r="B46" s="3" t="s">
        <v>171</v>
      </c>
    </row>
    <row r="47" customFormat="false" ht="27.75" hidden="false" customHeight="true" outlineLevel="0" collapsed="false">
      <c r="B47" s="7" t="s">
        <v>105</v>
      </c>
      <c r="C47" s="7" t="s">
        <v>172</v>
      </c>
      <c r="D47" s="7" t="s">
        <v>35</v>
      </c>
      <c r="E47" s="7" t="s">
        <v>173</v>
      </c>
      <c r="G47" s="7" t="s">
        <v>38</v>
      </c>
    </row>
    <row r="48" customFormat="false" ht="15" hidden="false" customHeight="false" outlineLevel="0" collapsed="false">
      <c r="B48" s="9" t="n">
        <v>300</v>
      </c>
      <c r="C48" s="10" t="n">
        <f aca="false">MAX(0,B48-$C$34)</f>
        <v>100</v>
      </c>
      <c r="D48" s="13" t="n">
        <f aca="false">IFERROR(MIN($C$35,MAX(0,B48-$C$34))/$C$35,0)</f>
        <v>0.666666666666667</v>
      </c>
      <c r="E48" s="13" t="n">
        <f aca="false">IFERROR(D48/$C$37-1,0)</f>
        <v>0.481481481481481</v>
      </c>
      <c r="G48" s="5" t="s">
        <v>174</v>
      </c>
    </row>
    <row r="49" customFormat="false" ht="15" hidden="false" customHeight="false" outlineLevel="0" collapsed="false">
      <c r="B49" s="9" t="n">
        <v>250</v>
      </c>
      <c r="C49" s="10" t="n">
        <f aca="false">MAX(0,B49-$C$34)</f>
        <v>50</v>
      </c>
      <c r="D49" s="13" t="n">
        <f aca="false">IFERROR(MIN($C$35,MAX(0,B49-$C$34))/$C$35,0)</f>
        <v>0.333333333333333</v>
      </c>
      <c r="E49" s="13" t="n">
        <f aca="false">IFERROR(D49/$C$37-1,0)</f>
        <v>-0.259259259259259</v>
      </c>
      <c r="G49" s="5"/>
    </row>
    <row r="50" customFormat="false" ht="15" hidden="false" customHeight="false" outlineLevel="0" collapsed="false">
      <c r="B50" s="9" t="n">
        <v>200</v>
      </c>
      <c r="C50" s="10" t="n">
        <f aca="false">MAX(0,B50-$C$34)</f>
        <v>0</v>
      </c>
      <c r="D50" s="13" t="n">
        <f aca="false">IFERROR(MIN($C$35,MAX(0,B50-$C$34))/$C$35,0)</f>
        <v>0</v>
      </c>
      <c r="E50" s="13" t="n">
        <f aca="false">IFERROR(D50/$C$37-1,0)</f>
        <v>-1</v>
      </c>
      <c r="G50" s="5" t="s">
        <v>175</v>
      </c>
    </row>
    <row r="51" customFormat="false" ht="22.35" hidden="false" customHeight="false" outlineLevel="0" collapsed="false">
      <c r="B51" s="9" t="n">
        <v>180</v>
      </c>
      <c r="C51" s="10" t="n">
        <f aca="false">MAX(0,B51-$C$34)</f>
        <v>0</v>
      </c>
      <c r="D51" s="13" t="n">
        <f aca="false">IFERROR(MIN($C$35,MAX(0,B51-$C$34))/$C$35,0)</f>
        <v>0</v>
      </c>
      <c r="E51" s="13" t="n">
        <f aca="false">IFERROR(D51/$C$37-1,0)</f>
        <v>-1</v>
      </c>
      <c r="G51" s="5" t="s">
        <v>176</v>
      </c>
    </row>
    <row r="53" customFormat="false" ht="27.75" hidden="false" customHeight="true" outlineLevel="0" collapsed="false">
      <c r="B53" s="15" t="s">
        <v>177</v>
      </c>
      <c r="C53" s="15"/>
      <c r="D53" s="15"/>
      <c r="E53" s="15"/>
      <c r="F53" s="15"/>
      <c r="G53" s="15"/>
    </row>
  </sheetData>
  <mergeCells count="2">
    <mergeCell ref="B4:G4"/>
    <mergeCell ref="B53:G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6"/>
    <col collapsed="false" customWidth="true" hidden="false" outlineLevel="0" max="4" min="3" style="0" width="18"/>
    <col collapsed="false" customWidth="true" hidden="false" outlineLevel="0" max="5" min="5" style="0" width="11"/>
    <col collapsed="false" customWidth="true" hidden="false" outlineLevel="0" max="6" min="6" style="0" width="46"/>
  </cols>
  <sheetData>
    <row r="2" customFormat="false" ht="17.35" hidden="false" customHeight="false" outlineLevel="0" collapsed="false">
      <c r="B2" s="1" t="s">
        <v>11</v>
      </c>
    </row>
    <row r="4" customFormat="false" ht="15" hidden="false" customHeight="true" outlineLevel="0" collapsed="false">
      <c r="B4" s="6" t="s">
        <v>178</v>
      </c>
      <c r="C4" s="6"/>
      <c r="D4" s="6"/>
      <c r="E4" s="6"/>
      <c r="F4" s="6"/>
    </row>
    <row r="6" customFormat="false" ht="27.75" hidden="false" customHeight="true" outlineLevel="0" collapsed="false">
      <c r="B6" s="7" t="s">
        <v>179</v>
      </c>
      <c r="C6" s="7" t="s">
        <v>180</v>
      </c>
      <c r="D6" s="7" t="s">
        <v>181</v>
      </c>
      <c r="E6" s="7" t="s">
        <v>37</v>
      </c>
      <c r="F6" s="7" t="s">
        <v>19</v>
      </c>
    </row>
    <row r="7" customFormat="false" ht="15" hidden="false" customHeight="false" outlineLevel="0" collapsed="false">
      <c r="B7" s="8" t="s">
        <v>26</v>
      </c>
      <c r="C7" s="10" t="n">
        <v>660</v>
      </c>
      <c r="D7" s="10" t="n">
        <f aca="false">Frictions!$C$11</f>
        <v>660</v>
      </c>
      <c r="E7" s="22" t="str">
        <f aca="false">IF(ABS(D7-C7)&lt;=0.5,"OK","ECART")</f>
        <v>OK</v>
      </c>
      <c r="F7" s="5" t="s">
        <v>27</v>
      </c>
    </row>
    <row r="8" customFormat="false" ht="15" hidden="false" customHeight="false" outlineLevel="0" collapsed="false">
      <c r="B8" s="8" t="s">
        <v>28</v>
      </c>
      <c r="C8" s="10" t="n">
        <v>560</v>
      </c>
      <c r="D8" s="10" t="n">
        <f aca="false">Frictions!$C$12</f>
        <v>560</v>
      </c>
      <c r="E8" s="22" t="str">
        <f aca="false">IF(ABS(D8-C8)&lt;=0.5,"OK","ECART")</f>
        <v>OK</v>
      </c>
      <c r="F8" s="5" t="s">
        <v>182</v>
      </c>
    </row>
    <row r="9" customFormat="false" ht="15" hidden="false" customHeight="false" outlineLevel="0" collapsed="false">
      <c r="B9" s="8" t="s">
        <v>183</v>
      </c>
      <c r="C9" s="13" t="n">
        <v>1</v>
      </c>
      <c r="D9" s="13" t="n">
        <f aca="false">Frictions!$G$16</f>
        <v>1</v>
      </c>
      <c r="E9" s="22" t="str">
        <f aca="false">IF(ABS(D9-C9)&lt;=0.0005,"OK","ECART")</f>
        <v>OK</v>
      </c>
      <c r="F9" s="5" t="s">
        <v>184</v>
      </c>
    </row>
    <row r="10" customFormat="false" ht="15" hidden="false" customHeight="false" outlineLevel="0" collapsed="false">
      <c r="B10" s="8" t="s">
        <v>185</v>
      </c>
      <c r="C10" s="10" t="n">
        <v>160</v>
      </c>
      <c r="D10" s="10" t="n">
        <f aca="false">Frictions!$E$17</f>
        <v>160</v>
      </c>
      <c r="E10" s="22" t="str">
        <f aca="false">IF(ABS(D10-C10)&lt;=0.5,"OK","ECART")</f>
        <v>OK</v>
      </c>
      <c r="F10" s="5" t="s">
        <v>186</v>
      </c>
    </row>
    <row r="11" customFormat="false" ht="15" hidden="false" customHeight="false" outlineLevel="0" collapsed="false">
      <c r="B11" s="8" t="s">
        <v>187</v>
      </c>
      <c r="C11" s="13" t="n">
        <v>0.8</v>
      </c>
      <c r="D11" s="13" t="n">
        <f aca="false">Frictions!$G$17</f>
        <v>0.8</v>
      </c>
      <c r="E11" s="22" t="str">
        <f aca="false">IF(ABS(D11-C11)&lt;=0.0005,"OK","ECART")</f>
        <v>OK</v>
      </c>
      <c r="F11" s="5" t="s">
        <v>188</v>
      </c>
    </row>
    <row r="12" customFormat="false" ht="15" hidden="false" customHeight="false" outlineLevel="0" collapsed="false">
      <c r="B12" s="8" t="s">
        <v>189</v>
      </c>
      <c r="C12" s="13" t="n">
        <v>0</v>
      </c>
      <c r="D12" s="13" t="n">
        <f aca="false">Frictions!$G$18</f>
        <v>0</v>
      </c>
      <c r="E12" s="22" t="str">
        <f aca="false">IF(ABS(D12-C12)&lt;=0.0005,"OK","ECART")</f>
        <v>OK</v>
      </c>
      <c r="F12" s="5" t="s">
        <v>190</v>
      </c>
    </row>
    <row r="13" customFormat="false" ht="15" hidden="false" customHeight="false" outlineLevel="0" collapsed="false">
      <c r="B13" s="8" t="s">
        <v>191</v>
      </c>
      <c r="C13" s="8" t="s">
        <v>41</v>
      </c>
      <c r="D13" s="8" t="str">
        <f aca="false">Frictions!$C$20</f>
        <v>Second-lien notes</v>
      </c>
      <c r="E13" s="22" t="str">
        <f aca="false">IF(EXACT(D13,C13),"OK","ECART")</f>
        <v>OK</v>
      </c>
      <c r="F13" s="5" t="s">
        <v>192</v>
      </c>
    </row>
    <row r="14" customFormat="false" ht="15" hidden="false" customHeight="false" outlineLevel="0" collapsed="false">
      <c r="B14" s="8" t="s">
        <v>74</v>
      </c>
      <c r="C14" s="13" t="n">
        <v>0.75</v>
      </c>
      <c r="D14" s="13" t="n">
        <f aca="false">'Form and Time'!$C$19</f>
        <v>0.75</v>
      </c>
      <c r="E14" s="22" t="str">
        <f aca="false">IF(ABS(D14-C14)&lt;=0.0005,"OK","ECART")</f>
        <v>OK</v>
      </c>
      <c r="F14" s="5" t="s">
        <v>193</v>
      </c>
    </row>
    <row r="15" customFormat="false" ht="15" hidden="false" customHeight="false" outlineLevel="0" collapsed="false">
      <c r="B15" s="8" t="s">
        <v>194</v>
      </c>
      <c r="C15" s="13" t="n">
        <v>0.5</v>
      </c>
      <c r="D15" s="13" t="n">
        <f aca="false">'Form and Time'!$C$22</f>
        <v>0.5</v>
      </c>
      <c r="E15" s="22" t="str">
        <f aca="false">IF(ABS(D15-C15)&lt;=0.0005,"OK","ECART")</f>
        <v>OK</v>
      </c>
      <c r="F15" s="5" t="s">
        <v>195</v>
      </c>
    </row>
    <row r="16" customFormat="false" ht="15" hidden="false" customHeight="false" outlineLevel="0" collapsed="false">
      <c r="B16" s="8" t="s">
        <v>196</v>
      </c>
      <c r="C16" s="18" t="n">
        <v>0.6667</v>
      </c>
      <c r="D16" s="18" t="n">
        <f aca="false">'Form and Time'!$F$29</f>
        <v>0.666666666666667</v>
      </c>
      <c r="E16" s="22" t="str">
        <f aca="false">IF(ABS(D16-C16)&lt;=0.005,"OK","ECART")</f>
        <v>OK</v>
      </c>
      <c r="F16" s="5" t="s">
        <v>197</v>
      </c>
    </row>
    <row r="17" customFormat="false" ht="15" hidden="false" customHeight="false" outlineLevel="0" collapsed="false">
      <c r="B17" s="8" t="s">
        <v>198</v>
      </c>
      <c r="C17" s="18" t="n">
        <v>0.19</v>
      </c>
      <c r="D17" s="18" t="n">
        <f aca="false">'Form and Time'!$F$31</f>
        <v>0.185631101496688</v>
      </c>
      <c r="E17" s="22" t="str">
        <f aca="false">IF(ABS(D17-C17)&lt;=0.005,"OK","ECART")</f>
        <v>OK</v>
      </c>
      <c r="F17" s="5" t="s">
        <v>199</v>
      </c>
    </row>
    <row r="18" customFormat="false" ht="15" hidden="false" customHeight="false" outlineLevel="0" collapsed="false">
      <c r="B18" s="8" t="s">
        <v>200</v>
      </c>
      <c r="C18" s="18" t="n">
        <v>0.11</v>
      </c>
      <c r="D18" s="18" t="n">
        <f aca="false">'Form and Time'!$F$33</f>
        <v>0.10756634324829</v>
      </c>
      <c r="E18" s="22" t="str">
        <f aca="false">IF(ABS(D18-C18)&lt;=0.005,"OK","ECART")</f>
        <v>OK</v>
      </c>
      <c r="F18" s="5" t="s">
        <v>201</v>
      </c>
    </row>
    <row r="19" customFormat="false" ht="15" hidden="false" customHeight="false" outlineLevel="0" collapsed="false">
      <c r="B19" s="8" t="s">
        <v>202</v>
      </c>
      <c r="C19" s="13" t="n">
        <v>0</v>
      </c>
      <c r="D19" s="13" t="n">
        <f aca="false">'One Turn of Multiple'!$C$18</f>
        <v>0</v>
      </c>
      <c r="E19" s="22" t="str">
        <f aca="false">IF(ABS(D19-C19)&lt;=0.0005,"OK","ECART")</f>
        <v>OK</v>
      </c>
      <c r="F19" s="5" t="s">
        <v>203</v>
      </c>
    </row>
    <row r="20" customFormat="false" ht="15" hidden="false" customHeight="false" outlineLevel="0" collapsed="false">
      <c r="B20" s="8" t="s">
        <v>204</v>
      </c>
      <c r="C20" s="13" t="n">
        <v>0.3333</v>
      </c>
      <c r="D20" s="13" t="n">
        <f aca="false">'One Turn of Multiple'!$D$18</f>
        <v>0.333333333333333</v>
      </c>
      <c r="E20" s="22" t="str">
        <f aca="false">IF(ABS(D20-C20)&lt;=0.005,"OK","ECART")</f>
        <v>OK</v>
      </c>
      <c r="F20" s="5" t="s">
        <v>205</v>
      </c>
    </row>
    <row r="21" customFormat="false" ht="15" hidden="false" customHeight="false" outlineLevel="0" collapsed="false">
      <c r="B21" s="8" t="s">
        <v>206</v>
      </c>
      <c r="C21" s="13" t="n">
        <v>0.6667</v>
      </c>
      <c r="D21" s="13" t="n">
        <f aca="false">'One Turn of Multiple'!$E$18</f>
        <v>0.666666666666667</v>
      </c>
      <c r="E21" s="22" t="str">
        <f aca="false">IF(ABS(D21-C21)&lt;=0.005,"OK","ECART")</f>
        <v>OK</v>
      </c>
      <c r="F21" s="5" t="s">
        <v>207</v>
      </c>
    </row>
    <row r="22" customFormat="false" ht="15" hidden="false" customHeight="false" outlineLevel="0" collapsed="false">
      <c r="B22" s="8" t="s">
        <v>208</v>
      </c>
      <c r="C22" s="13" t="n">
        <v>1</v>
      </c>
      <c r="D22" s="13" t="n">
        <f aca="false">'One Turn of Multiple'!$E$16</f>
        <v>1</v>
      </c>
      <c r="E22" s="22" t="str">
        <f aca="false">IF(ABS(D22-C22)&lt;=0.0005,"OK","ECART")</f>
        <v>OK</v>
      </c>
      <c r="F22" s="5" t="s">
        <v>209</v>
      </c>
    </row>
    <row r="23" customFormat="false" ht="15" hidden="false" customHeight="false" outlineLevel="0" collapsed="false">
      <c r="B23" s="8" t="s">
        <v>210</v>
      </c>
      <c r="C23" s="13" t="n">
        <v>0.4545</v>
      </c>
      <c r="D23" s="13" t="n">
        <f aca="false">'Margin of Safety'!$C$13</f>
        <v>0.454545454545455</v>
      </c>
      <c r="E23" s="22" t="str">
        <f aca="false">IF(ABS(D23-C23)&lt;=0.005,"OK","ECART")</f>
        <v>OK</v>
      </c>
      <c r="F23" s="5" t="s">
        <v>130</v>
      </c>
    </row>
    <row r="24" customFormat="false" ht="15" hidden="false" customHeight="false" outlineLevel="0" collapsed="false">
      <c r="B24" s="8" t="s">
        <v>211</v>
      </c>
      <c r="C24" s="18" t="n">
        <v>0.206</v>
      </c>
      <c r="D24" s="18" t="n">
        <f aca="false">'Margin of Safety'!$C$14</f>
        <v>0.206045378311055</v>
      </c>
      <c r="E24" s="22" t="str">
        <f aca="false">IF(ABS(D24-C24)&lt;=0.005,"OK","ECART")</f>
        <v>OK</v>
      </c>
      <c r="F24" s="5" t="s">
        <v>131</v>
      </c>
    </row>
    <row r="25" customFormat="false" ht="15" hidden="false" customHeight="false" outlineLevel="0" collapsed="false">
      <c r="B25" s="8" t="s">
        <v>212</v>
      </c>
      <c r="C25" s="13" t="n">
        <v>-0.1818</v>
      </c>
      <c r="D25" s="13" t="n">
        <f aca="false">'Margin of Safety'!$D$22</f>
        <v>-0.181818181818182</v>
      </c>
      <c r="E25" s="22" t="str">
        <f aca="false">IF(ABS(D25-C25)&lt;=0.005,"OK","ECART")</f>
        <v>OK</v>
      </c>
      <c r="F25" s="5" t="s">
        <v>213</v>
      </c>
    </row>
    <row r="26" customFormat="false" ht="15" hidden="false" customHeight="false" outlineLevel="0" collapsed="false">
      <c r="B26" s="8" t="s">
        <v>214</v>
      </c>
      <c r="C26" s="13" t="n">
        <v>0.05</v>
      </c>
      <c r="D26" s="13" t="n">
        <f aca="false">'Margin of Safety'!$C$29</f>
        <v>0.05</v>
      </c>
      <c r="E26" s="22" t="str">
        <f aca="false">IF(ABS(D26-C26)&lt;=0.0005,"OK","ECART")</f>
        <v>OK</v>
      </c>
      <c r="F26" s="5" t="s">
        <v>215</v>
      </c>
    </row>
    <row r="27" customFormat="false" ht="15" hidden="false" customHeight="false" outlineLevel="0" collapsed="false">
      <c r="B27" s="8" t="s">
        <v>216</v>
      </c>
      <c r="C27" s="10" t="n">
        <v>100</v>
      </c>
      <c r="D27" s="10" t="n">
        <f aca="false">'Margin of Safety'!$C$39</f>
        <v>100</v>
      </c>
      <c r="E27" s="22" t="str">
        <f aca="false">IF(ABS(D27-C27)&lt;=0.5,"OK","ECART")</f>
        <v>OK</v>
      </c>
      <c r="F27" s="5" t="s">
        <v>217</v>
      </c>
    </row>
    <row r="28" customFormat="false" ht="15" hidden="false" customHeight="false" outlineLevel="0" collapsed="false">
      <c r="B28" s="8" t="s">
        <v>218</v>
      </c>
      <c r="C28" s="10" t="n">
        <v>67.5</v>
      </c>
      <c r="D28" s="10" t="n">
        <f aca="false">'Margin of Safety'!$C$41</f>
        <v>67.5</v>
      </c>
      <c r="E28" s="22" t="str">
        <f aca="false">IF(ABS(D28-C28)&lt;=0.05,"OK","ECART")</f>
        <v>OK</v>
      </c>
      <c r="F28" s="5" t="s">
        <v>164</v>
      </c>
    </row>
    <row r="29" customFormat="false" ht="15" hidden="false" customHeight="false" outlineLevel="0" collapsed="false">
      <c r="B29" s="8" t="s">
        <v>219</v>
      </c>
      <c r="C29" s="10" t="n">
        <v>135</v>
      </c>
      <c r="D29" s="10" t="n">
        <f aca="false">'Margin of Safety'!$C$42</f>
        <v>135</v>
      </c>
      <c r="E29" s="22" t="str">
        <f aca="false">IF(ABS(D29-C29)&lt;=0.5,"OK","ECART")</f>
        <v>OK</v>
      </c>
      <c r="F29" s="5" t="s">
        <v>220</v>
      </c>
    </row>
    <row r="30" customFormat="false" ht="15" hidden="false" customHeight="false" outlineLevel="0" collapsed="false">
      <c r="B30" s="8" t="s">
        <v>221</v>
      </c>
      <c r="C30" s="21" t="n">
        <v>2</v>
      </c>
      <c r="D30" s="21" t="n">
        <f aca="false">'Margin of Safety'!$C$43</f>
        <v>2</v>
      </c>
      <c r="E30" s="22" t="str">
        <f aca="false">IF(ABS(D30-C30)&lt;=0.005,"OK","ECART")</f>
        <v>OK</v>
      </c>
      <c r="F30" s="5" t="s">
        <v>222</v>
      </c>
    </row>
    <row r="31" customFormat="false" ht="15" hidden="false" customHeight="false" outlineLevel="0" collapsed="false">
      <c r="B31" s="8" t="s">
        <v>223</v>
      </c>
      <c r="C31" s="13" t="n">
        <v>0</v>
      </c>
      <c r="D31" s="13" t="n">
        <f aca="false">'Margin of Safety'!$D$51</f>
        <v>0</v>
      </c>
      <c r="E31" s="22" t="str">
        <f aca="false">IF(ABS(D31-C31)&lt;=0.0005,"OK","ECART")</f>
        <v>OK</v>
      </c>
      <c r="F31" s="5" t="s">
        <v>224</v>
      </c>
    </row>
    <row r="33" customFormat="false" ht="15" hidden="false" customHeight="false" outlineLevel="0" collapsed="false">
      <c r="B33" s="3" t="s">
        <v>225</v>
      </c>
    </row>
    <row r="34" customFormat="false" ht="27.75" hidden="false" customHeight="true" outlineLevel="0" collapsed="false">
      <c r="B34" s="7" t="s">
        <v>179</v>
      </c>
      <c r="C34" s="7" t="s">
        <v>226</v>
      </c>
      <c r="D34" s="7" t="s">
        <v>227</v>
      </c>
      <c r="E34" s="7" t="s">
        <v>37</v>
      </c>
      <c r="F34" s="7" t="s">
        <v>228</v>
      </c>
    </row>
    <row r="35" customFormat="false" ht="22.35" hidden="false" customHeight="false" outlineLevel="0" collapsed="false">
      <c r="B35" s="8" t="s">
        <v>229</v>
      </c>
      <c r="C35" s="13" t="n">
        <v>0</v>
      </c>
      <c r="D35" s="13" t="n">
        <f aca="false">Frictions!$D$27</f>
        <v>0</v>
      </c>
      <c r="E35" s="22" t="str">
        <f aca="false">IF(ABS(D35-C35)&lt;=0.0005,"OK","ECART")</f>
        <v>OK</v>
      </c>
      <c r="F35" s="5" t="s">
        <v>230</v>
      </c>
    </row>
    <row r="36" customFormat="false" ht="15" hidden="false" customHeight="false" outlineLevel="0" collapsed="false">
      <c r="B36" s="8" t="s">
        <v>231</v>
      </c>
      <c r="C36" s="23" t="n">
        <v>1</v>
      </c>
      <c r="D36" s="23" t="n">
        <f aca="false">IF('Form and Time'!$C$19&lt;'Form and Time'!$C$8,1,0)</f>
        <v>1</v>
      </c>
      <c r="E36" s="22" t="str">
        <f aca="false">IF(ABS(D36-C36)&lt;=0.0001,"OK","ECART")</f>
        <v>OK</v>
      </c>
      <c r="F36" s="5" t="s">
        <v>232</v>
      </c>
    </row>
    <row r="37" customFormat="false" ht="15" hidden="false" customHeight="false" outlineLevel="0" collapsed="false">
      <c r="B37" s="8" t="s">
        <v>233</v>
      </c>
      <c r="C37" s="23" t="n">
        <v>1</v>
      </c>
      <c r="D37" s="23" t="n">
        <f aca="false">IF('Form and Time'!$C$41&lt;'Form and Time'!$C$37,1,0)</f>
        <v>1</v>
      </c>
      <c r="E37" s="22" t="str">
        <f aca="false">IF(ABS(D37-C37)&lt;=0.0001,"OK","ECART")</f>
        <v>OK</v>
      </c>
      <c r="F37" s="5"/>
    </row>
    <row r="38" customFormat="false" ht="15" hidden="false" customHeight="false" outlineLevel="0" collapsed="false">
      <c r="B38" s="8" t="s">
        <v>234</v>
      </c>
      <c r="C38" s="23" t="n">
        <v>1</v>
      </c>
      <c r="D38" s="23" t="n">
        <f aca="false">IF(AND('One Turn of Multiple'!$C$18=0,'One Turn of Multiple'!$E$18&gt;0.6),1,0)</f>
        <v>1</v>
      </c>
      <c r="E38" s="22" t="str">
        <f aca="false">IF(ABS(D38-C38)&lt;=0.0001,"OK","ECART")</f>
        <v>OK</v>
      </c>
      <c r="F38" s="5"/>
    </row>
    <row r="40" customFormat="false" ht="15" hidden="false" customHeight="false" outlineLevel="0" collapsed="false">
      <c r="B40" s="4" t="s">
        <v>235</v>
      </c>
      <c r="D40" s="14" t="str">
        <f aca="false">IF(COUNTIF(E7:E31,"OK")+COUNTIF(E35:E38,"OK")=29,"TOUT CONCORDE","VERIFIER")</f>
        <v>TOUT CONCORDE</v>
      </c>
    </row>
  </sheetData>
  <mergeCells count="1">
    <mergeCell ref="B4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2026-08-12T19:55:24Z</dcterms:created>
  <dc:creator>openpyxl</dc:creator>
  <dc:description/>
  <dc:language>en-US</dc:language>
  <cp:lastModifiedBy/>
  <dcterms:modified xsi:type="dcterms:W3CDTF">2026-08-12T19:55:24Z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