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Model" sheetId="3" state="visible" r:id="rId5"/>
    <sheet name="Scenarios" sheetId="4" state="visible" r:id="rId6"/>
    <sheet name="Buyout" sheetId="5" state="visible" r:id="rId7"/>
    <sheet name="Thresholds"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<sst xmlns="http://schemas.openxmlformats.org/spreadsheetml/2006/main" count="741" uniqueCount="255">
  <si>
    <t xml:space="preserve">Pellam Towers: 850 wireless towers carved out of a mobile operator, with a master lease agreement</t>
  </si>
  <si>
    <t xml:space="preserve">Companion workbook to The Digital Infrastructure Investor, by Julian R. Sterling. julianrsterling.com/digitalinfra</t>
  </si>
  <si>
    <t xml:space="preserve">What it covers</t>
  </si>
  <si>
    <t xml:space="preserve">The tower case of the book over ten years: colocation tenancies (new, churned, removed after a merger), the tenancy ratio, leased ground sites and the buyout program, anchor and colocation revenue, ground rent, site costs, overhead, EBITDA, maintenance, strengthening and buyout capex, free cash flow, the exit at a multiple, the debt at 7.0x EBITDA refinanced in year 7, leverage, interest cover, equity cash flows, equity IRR and multiple. Scenarios: no growth, no buyouts, the merger, exit 19x and 23x, multiples down 2x. The IRR of one ground lease buyout. The two thresholds the book prints.</t>
  </si>
  <si>
    <t xml:space="preserve">Where it is in the book</t>
  </si>
  <si>
    <t xml:space="preserve">Chapters 12 to 14.</t>
  </si>
  <si>
    <t xml:space="preserve">Sheets</t>
  </si>
  <si>
    <t xml:space="preserve">Inputs. Model: the base case with debt. Scenarios. Buyout. Thresholds. Checks: every figure the book prints beside its live cell, and logic checks.</t>
  </si>
  <si>
    <t xml:space="preserve">Conventions</t>
  </si>
  <si>
    <t xml:space="preserve">Yellow cells with blue type are inputs; grey cells are formulas; navy rows are headers. Amounts in $ millions unless marked. No macros, nothing locked, protected or hidden. Pellam Towers and its operators are fictional; every figure is the book's assumption.</t>
  </si>
  <si>
    <t xml:space="preserve">The file is provided without warranty of any kind. It is a teaching model, not investment advice.</t>
  </si>
  <si>
    <t xml:space="preserve">Inputs: Pellam Towers</t>
  </si>
  <si>
    <t xml:space="preserve">Yellow cells with blue type are inputs. Change one and every sheet follows.</t>
  </si>
  <si>
    <t xml:space="preserve">Towers and tenants (Chapter 12)</t>
  </si>
  <si>
    <t xml:space="preserve">Towers</t>
  </si>
  <si>
    <t xml:space="preserve">Colocation tenancies at purchase</t>
  </si>
  <si>
    <t xml:space="preserve">second and third operators</t>
  </si>
  <si>
    <t xml:space="preserve">Anchor rent per tower</t>
  </si>
  <si>
    <t xml:space="preserve">$ per month</t>
  </si>
  <si>
    <t xml:space="preserve">Anchor escalator</t>
  </si>
  <si>
    <t xml:space="preserve">a year</t>
  </si>
  <si>
    <t xml:space="preserve">Colocation rent per tenancy</t>
  </si>
  <si>
    <t xml:space="preserve">Colocation escalator</t>
  </si>
  <si>
    <t xml:space="preserve">New tenancies per tower a year</t>
  </si>
  <si>
    <t xml:space="preserve">Colocation churn a year</t>
  </si>
  <si>
    <t xml:space="preserve">Year the second and third operators merge</t>
  </si>
  <si>
    <t xml:space="preserve">Tenancies removed after the merger, base case</t>
  </si>
  <si>
    <t xml:space="preserve">0 in the base case</t>
  </si>
  <si>
    <t xml:space="preserve">Tenancies removed in the merger scenario</t>
  </si>
  <si>
    <t xml:space="preserve">scenario setting</t>
  </si>
  <si>
    <t xml:space="preserve">Ground and costs (Chapter 13)</t>
  </si>
  <si>
    <t xml:space="preserve">Share of towers on leased land</t>
  </si>
  <si>
    <t xml:space="preserve">Ground rent per site</t>
  </si>
  <si>
    <t xml:space="preserve">Ground rent escalator</t>
  </si>
  <si>
    <t xml:space="preserve">Ground lease buyouts a year</t>
  </si>
  <si>
    <t xml:space="preserve">Buyout price, years of ground rent</t>
  </si>
  <si>
    <t xml:space="preserve">x</t>
  </si>
  <si>
    <t xml:space="preserve">Site costs per tower</t>
  </si>
  <si>
    <t xml:space="preserve">Site cost escalator</t>
  </si>
  <si>
    <t xml:space="preserve">Overhead, year 1</t>
  </si>
  <si>
    <t xml:space="preserve">$m</t>
  </si>
  <si>
    <t xml:space="preserve">Overhead escalator</t>
  </si>
  <si>
    <t xml:space="preserve">Maintenance capex per tower a year</t>
  </si>
  <si>
    <t xml:space="preserve">$</t>
  </si>
  <si>
    <t xml:space="preserve">Capex escalator</t>
  </si>
  <si>
    <t xml:space="preserve">Strengthening capex per new tenancy</t>
  </si>
  <si>
    <t xml:space="preserve">Price, exit and debt (Chapter 14)</t>
  </si>
  <si>
    <t xml:space="preserve">Price</t>
  </si>
  <si>
    <t xml:space="preserve">Transaction costs</t>
  </si>
  <si>
    <t xml:space="preserve">Exit multiple of year-10 EBITDA</t>
  </si>
  <si>
    <t xml:space="preserve">Exit costs</t>
  </si>
  <si>
    <t xml:space="preserve">Acquisition debt, multiple of year-1 EBITDA</t>
  </si>
  <si>
    <t xml:space="preserve">Interest rate, interest only</t>
  </si>
  <si>
    <t xml:space="preserve">Maturity and refinancing, end of year</t>
  </si>
  <si>
    <t xml:space="preserve">Refinancing, multiple of EBITDA of the maturity year</t>
  </si>
  <si>
    <t xml:space="preserve">Refinancing rate</t>
  </si>
  <si>
    <t xml:space="preserve">Loan fee</t>
  </si>
  <si>
    <t xml:space="preserve">Covenant: maximum leverage</t>
  </si>
  <si>
    <t xml:space="preserve">Covenant: minimum interest cover</t>
  </si>
  <si>
    <t xml:space="preserve">The fund's equity IRR target</t>
  </si>
  <si>
    <t xml:space="preserve">Pellam Towers: the annual model, debt and equity, base case</t>
  </si>
  <si>
    <t xml:space="preserve">Chapters 12 to 14. Tenancies, ground, revenue lines, EBITDA, capex with buyouts, exit; debt at 7.0x, refinanced in year 7.</t>
  </si>
  <si>
    <t xml:space="preserve">Base case</t>
  </si>
  <si>
    <t xml:space="preserve">Tenancies removed after the merger (half in the merger year, half the next)</t>
  </si>
  <si>
    <t xml:space="preserve">Exit multiple of year-10 EBITDA (with any shift)</t>
  </si>
  <si>
    <t xml:space="preserve">Year ($m unless marked)</t>
  </si>
  <si>
    <t xml:space="preserve">New tenancies</t>
  </si>
  <si>
    <t xml:space="preserve">Colocation churn</t>
  </si>
  <si>
    <t xml:space="preserve">Tenancies removed after the merger</t>
  </si>
  <si>
    <t xml:space="preserve">Colocation tenancies, end of year</t>
  </si>
  <si>
    <t xml:space="preserve">Average colocation tenancies</t>
  </si>
  <si>
    <t xml:space="preserve">Tenancy ratio (tenants per tower)</t>
  </si>
  <si>
    <t xml:space="preserve">Sites on leased land, end of year</t>
  </si>
  <si>
    <t xml:space="preserve">Average leased sites</t>
  </si>
  <si>
    <t xml:space="preserve">Anchor revenue</t>
  </si>
  <si>
    <t xml:space="preserve">Colocation revenue</t>
  </si>
  <si>
    <t xml:space="preserve">Revenue</t>
  </si>
  <si>
    <t xml:space="preserve">Ground rent per site a year, $</t>
  </si>
  <si>
    <t xml:space="preserve">Ground rent</t>
  </si>
  <si>
    <t xml:space="preserve">Site costs</t>
  </si>
  <si>
    <t xml:space="preserve">Overhead</t>
  </si>
  <si>
    <t xml:space="preserve">EBITDA</t>
  </si>
  <si>
    <t xml:space="preserve">Maintenance capex</t>
  </si>
  <si>
    <t xml:space="preserve">Strengthening capex for new tenancies</t>
  </si>
  <si>
    <t xml:space="preserve">Ground lease buyouts</t>
  </si>
  <si>
    <t xml:space="preserve">Free cash flow (EBITDA less all capex)</t>
  </si>
  <si>
    <t xml:space="preserve">Entry cost (price plus transaction costs)</t>
  </si>
  <si>
    <t xml:space="preserve">Net exit value (year-10 EBITDA x multiple, less exit costs)</t>
  </si>
  <si>
    <t xml:space="preserve">Acquisition debt (multiple of year-1 EBITDA)</t>
  </si>
  <si>
    <t xml:space="preserve">Refinanced debt (multiple of EBITDA in the maturity year)</t>
  </si>
  <si>
    <t xml:space="preserve">Unlevered cash flow (entry, free cash flow, exit)</t>
  </si>
  <si>
    <t xml:space="preserve">Debt and equity</t>
  </si>
  <si>
    <t xml:space="preserve">Debt, end of year</t>
  </si>
  <si>
    <t xml:space="preserve">Interest</t>
  </si>
  <si>
    <t xml:space="preserve">Leverage (debt / EBITDA)</t>
  </si>
  <si>
    <t xml:space="preserve">Interest cover (EBITDA / interest)</t>
  </si>
  <si>
    <t xml:space="preserve">Debt cash flow (loan, interest, refinancing, repayment)</t>
  </si>
  <si>
    <t xml:space="preserve">Equity cash flow</t>
  </si>
  <si>
    <t xml:space="preserve">Equity at purchase</t>
  </si>
  <si>
    <t xml:space="preserve">Unlevered IRR, IRR() over the row</t>
  </si>
  <si>
    <t xml:space="preserve">Equity IRR, IRR() over the row</t>
  </si>
  <si>
    <t xml:space="preserve">Equity multiple</t>
  </si>
  <si>
    <t xml:space="preserve">Price / year-1 EBITDA</t>
  </si>
  <si>
    <t xml:space="preserve">Other figures (Chapters 12 and 13)</t>
  </si>
  <si>
    <t xml:space="preserve">Tenancy ratio at purchase</t>
  </si>
  <si>
    <t xml:space="preserve">Ground rent / anchor rent on a leased site, year 1</t>
  </si>
  <si>
    <t xml:space="preserve">Ground rent / anchor rent on a leased site, year 10</t>
  </si>
  <si>
    <t xml:space="preserve">Highest leverage, years 1 to 10</t>
  </si>
  <si>
    <t xml:space="preserve">Lowest interest cover, years 1 to 10</t>
  </si>
  <si>
    <t xml:space="preserve">Scenarios: growth, buyouts, the merger and the exit multiple (Chapters 12 to 14 and 16)</t>
  </si>
  <si>
    <t xml:space="preserve">One full block per case; everything else as in the base case.</t>
  </si>
  <si>
    <t xml:space="preserve">No new tenants at all</t>
  </si>
  <si>
    <t xml:space="preserve">No ground lease buyouts</t>
  </si>
  <si>
    <t xml:space="preserve">The second and third operators merge in year 4</t>
  </si>
  <si>
    <t xml:space="preserve">Exit at 19x (also the multiple-down-2x case)</t>
  </si>
  <si>
    <t xml:space="preserve">Exit at 23x</t>
  </si>
  <si>
    <t xml:space="preserve">Multiples down 2x (rates scenario)</t>
  </si>
  <si>
    <t xml:space="preserve">One ground lease buyout: its IRR held at 16x and sold at the tower multiple (Chapter 13)</t>
  </si>
  <si>
    <t xml:space="preserve">Pay 16 years of rent, save the rent as it grows; at the end of year 10 the saving is capitalized at the multiple shown.</t>
  </si>
  <si>
    <t xml:space="preserve">Ground rent a year, $</t>
  </si>
  <si>
    <t xml:space="preserve">Cost of one buyout, $</t>
  </si>
  <si>
    <t xml:space="preserve">First-year saving / cost</t>
  </si>
  <si>
    <t xml:space="preserve">Saving capitalized at the buyout multiple (16x)</t>
  </si>
  <si>
    <t xml:space="preserve">Exit multiple of the year-10 saving</t>
  </si>
  <si>
    <t xml:space="preserve">Year ($)</t>
  </si>
  <si>
    <t xml:space="preserve">Cash flow of one buyout</t>
  </si>
  <si>
    <t xml:space="preserve">IRR of the buyout</t>
  </si>
  <si>
    <t xml:space="preserve">Saving capitalized at the tower exit multiple (21x)</t>
  </si>
  <si>
    <t xml:space="preserve">Thresholds: new tenancies and exit multiple for a 10% equity IRR (Chapters 12 and 14)</t>
  </si>
  <si>
    <t xml:space="preserve">Each block holds the model's threshold in a yellow input and recomputes the case with it.</t>
  </si>
  <si>
    <t xml:space="preserve">Threshold: New tenancies per tower a year for a 10% equity IRR</t>
  </si>
  <si>
    <t xml:space="preserve">New tenancies per tower a year for a 10% equity IRR</t>
  </si>
  <si>
    <t xml:space="preserve">threshold input: the model's value, change it to test</t>
  </si>
  <si>
    <t xml:space="preserve">Target equity IRR</t>
  </si>
  <si>
    <t xml:space="preserve">Recomputed equity IRR with the threshold</t>
  </si>
  <si>
    <t xml:space="preserve">Gap</t>
  </si>
  <si>
    <t xml:space="preserve">Target hit</t>
  </si>
  <si>
    <t xml:space="preserve">Threshold: Exit multiple for a 10% equity IRR</t>
  </si>
  <si>
    <t xml:space="preserve">Exit multiple for a 10% equity IRR</t>
  </si>
  <si>
    <t xml:space="preserve">Checks: the figures printed in the book against the live workbook</t>
  </si>
  <si>
    <t xml:space="preserve">Printed = the figure as printed in the book (facts.json, from the model). Gap = workbook minus printed value. Tolerance = half a unit of the last printed digit. The logic checks at the end test that the model holds together.</t>
  </si>
  <si>
    <t xml:space="preserve">Number of checks</t>
  </si>
  <si>
    <t xml:space="preserve">PASS</t>
  </si>
  <si>
    <t xml:space="preserve">FAIL (an error value counts as FAIL)</t>
  </si>
  <si>
    <t xml:space="preserve">Overall status</t>
  </si>
  <si>
    <t xml:space="preserve">#</t>
  </si>
  <si>
    <t xml:space="preserve">Sheet</t>
  </si>
  <si>
    <t xml:space="preserve">Key</t>
  </si>
  <si>
    <t xml:space="preserve">Figure printed in the book, or logic check</t>
  </si>
  <si>
    <t xml:space="preserve">Printed</t>
  </si>
  <si>
    <t xml:space="preserve">Printed value</t>
  </si>
  <si>
    <t xml:space="preserve">Workbook</t>
  </si>
  <si>
    <t xml:space="preserve">Tolerance</t>
  </si>
  <si>
    <t xml:space="preserve">Status</t>
  </si>
  <si>
    <t xml:space="preserve">Model</t>
  </si>
  <si>
    <t xml:space="preserve">tw_ratio0</t>
  </si>
  <si>
    <t xml:space="preserve">1.45</t>
  </si>
  <si>
    <t xml:space="preserve">tw_ebitda1</t>
  </si>
  <si>
    <t xml:space="preserve">Year-1 EBITDA</t>
  </si>
  <si>
    <t xml:space="preserve">$13.15 million</t>
  </si>
  <si>
    <t xml:space="preserve">Scenarios</t>
  </si>
  <si>
    <t xml:space="preserve">tw_eirr_nogrowth</t>
  </si>
  <si>
    <t xml:space="preserve">Equity IRR, no new tenants</t>
  </si>
  <si>
    <t xml:space="preserve">5.72%</t>
  </si>
  <si>
    <t xml:space="preserve">Thresholds</t>
  </si>
  <si>
    <t xml:space="preserve">tw_newcolo10</t>
  </si>
  <si>
    <t xml:space="preserve">Threshold: new tenancies per tower for 10%</t>
  </si>
  <si>
    <t xml:space="preserve">0.0296</t>
  </si>
  <si>
    <t xml:space="preserve">Buyout</t>
  </si>
  <si>
    <t xml:space="preserve">tw_buyout_cost</t>
  </si>
  <si>
    <t xml:space="preserve">Cost of one buyout</t>
  </si>
  <si>
    <t xml:space="preserve">$220,800</t>
  </si>
  <si>
    <t xml:space="preserve">tw_buyout_irr16</t>
  </si>
  <si>
    <t xml:space="preserve">Buyout IRR, saving held at 16x</t>
  </si>
  <si>
    <t xml:space="preserve">9.32%</t>
  </si>
  <si>
    <t xml:space="preserve">tw_buyout_irr21</t>
  </si>
  <si>
    <t xml:space="preserve">Buyout IRR, saving sold at 21x</t>
  </si>
  <si>
    <t xml:space="preserve">11.50%</t>
  </si>
  <si>
    <t xml:space="preserve">tw_eirr_nobuy</t>
  </si>
  <si>
    <t xml:space="preserve">Equity IRR, no buyouts</t>
  </si>
  <si>
    <t xml:space="preserve">9.24%</t>
  </si>
  <si>
    <t xml:space="preserve">tw_ground_ratio10</t>
  </si>
  <si>
    <t xml:space="preserve">Ground rent / anchor rent, year 10</t>
  </si>
  <si>
    <t xml:space="preserve">58.6%</t>
  </si>
  <si>
    <t xml:space="preserve">tw_eirr_merger</t>
  </si>
  <si>
    <t xml:space="preserve">Equity IRR, merger</t>
  </si>
  <si>
    <t xml:space="preserve">9.02%</t>
  </si>
  <si>
    <t xml:space="preserve">Inputs</t>
  </si>
  <si>
    <t xml:space="preserve">tw_price</t>
  </si>
  <si>
    <t xml:space="preserve">$282 million</t>
  </si>
  <si>
    <t xml:space="preserve">tw_entry_mult</t>
  </si>
  <si>
    <t xml:space="preserve">21.4x</t>
  </si>
  <si>
    <t xml:space="preserve">tw_exit</t>
  </si>
  <si>
    <t xml:space="preserve">Net exit value</t>
  </si>
  <si>
    <t xml:space="preserve">$574.8 million</t>
  </si>
  <si>
    <t xml:space="preserve">tw_debt0</t>
  </si>
  <si>
    <t xml:space="preserve">Acquisition debt</t>
  </si>
  <si>
    <t xml:space="preserve">$92.1 million</t>
  </si>
  <si>
    <t xml:space="preserve">tw_debt7</t>
  </si>
  <si>
    <t xml:space="preserve">Refinanced debt, year 7</t>
  </si>
  <si>
    <t xml:space="preserve">$155.6 million</t>
  </si>
  <si>
    <t xml:space="preserve">tw_equity0</t>
  </si>
  <si>
    <t xml:space="preserve">$196.5 million</t>
  </si>
  <si>
    <t xml:space="preserve">tw_uirr</t>
  </si>
  <si>
    <t xml:space="preserve">Unlevered IRR</t>
  </si>
  <si>
    <t xml:space="preserve">9.11%</t>
  </si>
  <si>
    <t xml:space="preserve">tw_eirr</t>
  </si>
  <si>
    <t xml:space="preserve">Equity IRR</t>
  </si>
  <si>
    <t xml:space="preserve">10.06%</t>
  </si>
  <si>
    <t xml:space="preserve">tw_eirr_x19</t>
  </si>
  <si>
    <t xml:space="preserve">Equity IRR, exit 19x</t>
  </si>
  <si>
    <t xml:space="preserve">8.76%</t>
  </si>
  <si>
    <t xml:space="preserve">tw_eirr_x23</t>
  </si>
  <si>
    <t xml:space="preserve">Equity IRR, exit 23x</t>
  </si>
  <si>
    <t xml:space="preserve">11.22%</t>
  </si>
  <si>
    <t xml:space="preserve">tw_exitx10</t>
  </si>
  <si>
    <t xml:space="preserve">Threshold: exit multiple for 10%</t>
  </si>
  <si>
    <t xml:space="preserve">20.9x</t>
  </si>
  <si>
    <t xml:space="preserve">logic</t>
  </si>
  <si>
    <t xml:space="preserve">Base case: unlevered IRR() sets NPV to zero</t>
  </si>
  <si>
    <t xml:space="preserve">target</t>
  </si>
  <si>
    <t xml:space="preserve">Base case: equity IRR() sets NPV to zero</t>
  </si>
  <si>
    <t xml:space="preserve">Base case: leased sites never negative</t>
  </si>
  <si>
    <t xml:space="preserve">Base case: leverage stays below the covenant maximum</t>
  </si>
  <si>
    <t xml:space="preserve">Base case: interest cover stays above the covenant minimum</t>
  </si>
  <si>
    <t xml:space="preserve">Base case: revenue equals anchor plus colocation, summed over ten years</t>
  </si>
  <si>
    <t xml:space="preserve">No new tenants at all: unlevered IRR() sets NPV to zero</t>
  </si>
  <si>
    <t xml:space="preserve">No new tenants at all: equity IRR() sets NPV to zero</t>
  </si>
  <si>
    <t xml:space="preserve">No new tenants at all: leased sites never negative</t>
  </si>
  <si>
    <t xml:space="preserve">No ground lease buyouts: unlevered IRR() sets NPV to zero</t>
  </si>
  <si>
    <t xml:space="preserve">No ground lease buyouts: equity IRR() sets NPV to zero</t>
  </si>
  <si>
    <t xml:space="preserve">No ground lease buyouts: leased sites never negative</t>
  </si>
  <si>
    <t xml:space="preserve">The second and third operators merge in year 4: unlevered IRR() sets NPV to zero</t>
  </si>
  <si>
    <t xml:space="preserve">The second and third operators merge in year 4: equity IRR() sets NPV to zero</t>
  </si>
  <si>
    <t xml:space="preserve">The second and third operators merge in year 4: leased sites never negative</t>
  </si>
  <si>
    <t xml:space="preserve">Exit at 19x (also the multiple-down-2x case): unlevered IRR() sets NPV to zero</t>
  </si>
  <si>
    <t xml:space="preserve">Exit at 19x (also the multiple-down-2x case): equity IRR() sets NPV to zero</t>
  </si>
  <si>
    <t xml:space="preserve">Exit at 19x (also the multiple-down-2x case): leased sites never negative</t>
  </si>
  <si>
    <t xml:space="preserve">Exit at 23x: unlevered IRR() sets NPV to zero</t>
  </si>
  <si>
    <t xml:space="preserve">Exit at 23x: equity IRR() sets NPV to zero</t>
  </si>
  <si>
    <t xml:space="preserve">Exit at 23x: leased sites never negative</t>
  </si>
  <si>
    <t xml:space="preserve">Multiples down 2x (rates scenario): unlevered IRR() sets NPV to zero</t>
  </si>
  <si>
    <t xml:space="preserve">Multiples down 2x (rates scenario): equity IRR() sets NPV to zero</t>
  </si>
  <si>
    <t xml:space="preserve">Multiples down 2x (rates scenario): leased sites never negative</t>
  </si>
  <si>
    <t xml:space="preserve">Buyout Saving capitalized at the buyout multiple (16x): IRR() sets NPV to zero</t>
  </si>
  <si>
    <t xml:space="preserve">Buyout Saving capitalized at the tower exit multiple (21x): IRR() sets NPV to zero</t>
  </si>
  <si>
    <t xml:space="preserve">Threshold: New tenancies per tower a year for a 10% equity IRR: unlevered IRR() sets NPV to zero</t>
  </si>
  <si>
    <t xml:space="preserve">Threshold: New tenancies per tower a year for a 10% equity IRR: equity IRR() sets NPV to zero</t>
  </si>
  <si>
    <t xml:space="preserve">Threshold: New tenancies per tower a year for a 10% equity IRR: leased sites never negative</t>
  </si>
  <si>
    <t xml:space="preserve">Threshold New tenancies per tower a year for a 10% equity IRR: the recomputed case hits 10%</t>
  </si>
  <si>
    <t xml:space="preserve">Threshold: Exit multiple for a 10% equity IRR: unlevered IRR() sets NPV to zero</t>
  </si>
  <si>
    <t xml:space="preserve">Threshold: Exit multiple for a 10% equity IRR: equity IRR() sets NPV to zero</t>
  </si>
  <si>
    <t xml:space="preserve">Threshold: Exit multiple for a 10% equity IRR: leased sites never negative</t>
  </si>
  <si>
    <t xml:space="preserve">Threshold Exit multiple for a 10% equity IRR: the recomputed case hits 10%</t>
  </si>
  <si>
    <t xml:space="preserve">Exit at 19x equals multiples down 2x from 21x</t>
  </si>
</sst>
</file>

<file path=xl/styles.xml><?xml version="1.0" encoding="utf-8"?>
<styleSheet xmlns="http://schemas.openxmlformats.org/spreadsheetml/2006/main">
  <numFmts count="21">
    <numFmt numFmtId="164" formatCode="General"/>
    <numFmt numFmtId="165" formatCode="#,##0"/>
    <numFmt numFmtId="166" formatCode="\$#,##0;&quot;-$&quot;#,##0;\$0"/>
    <numFmt numFmtId="167" formatCode="0.0%"/>
    <numFmt numFmtId="168" formatCode="0.0000"/>
    <numFmt numFmtId="169" formatCode="0"/>
    <numFmt numFmtId="170" formatCode="0%"/>
    <numFmt numFmtId="171" formatCode="#,##0.0"/>
    <numFmt numFmtId="172" formatCode="\$#,##0.00;&quot;-$&quot;#,##0.00;\$0.00"/>
    <numFmt numFmtId="173" formatCode="0.00%"/>
    <numFmt numFmtId="174" formatCode="#,##0.00"/>
    <numFmt numFmtId="175" formatCode="#,##0.00\x"/>
    <numFmt numFmtId="176" formatCode="#,##0.0\x"/>
    <numFmt numFmtId="177" formatCode="0.000000"/>
    <numFmt numFmtId="178" formatCode="0.000000000"/>
    <numFmt numFmtId="179" formatCode="#,##0.0000"/>
    <numFmt numFmtId="180" formatCode="0.0000%"/>
    <numFmt numFmtId="181" formatCode="#,##0.000000"/>
    <numFmt numFmtId="182" formatCode="0.000%"/>
    <numFmt numFmtId="183" formatCode="#,##0.000"/>
    <numFmt numFmtId="184" formatCode="0.0E+00"/>
  </numFmts>
  <fonts count="11">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
      <b val="true"/>
      <sz val="11"/>
      <color rgb="FF1F4FB4"/>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72" fontId="7"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3" fontId="7" fillId="4" borderId="1" xfId="0" applyFont="true" applyBorder="true" applyAlignment="false" applyProtection="false">
      <alignment horizontal="general"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77" fontId="10" fillId="3" borderId="1" xfId="0" applyFont="true" applyBorder="true" applyAlignment="false" applyProtection="false">
      <alignment horizontal="general" vertical="bottom" textRotation="0" wrapText="false" indent="0" shrinkToFit="false"/>
      <protection locked="true" hidden="false"/>
    </xf>
    <xf numFmtId="178"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7" fontId="8" fillId="3" borderId="1" xfId="0" applyFont="true" applyBorder="true" applyAlignment="false" applyProtection="false">
      <alignment horizontal="general" vertical="bottom" textRotation="0" wrapText="false" indent="0" shrinkToFit="false"/>
      <protection locked="true" hidden="false"/>
    </xf>
    <xf numFmtId="180" fontId="6" fillId="4" borderId="1" xfId="0" applyFont="true" applyBorder="true" applyAlignment="false" applyProtection="false">
      <alignment horizontal="general" vertical="bottom" textRotation="0" wrapText="false" indent="0" shrinkToFit="false"/>
      <protection locked="true" hidden="false"/>
    </xf>
    <xf numFmtId="179" fontId="8" fillId="3" borderId="1" xfId="0" applyFont="true" applyBorder="true" applyAlignment="false" applyProtection="false">
      <alignment horizontal="general" vertical="bottom" textRotation="0" wrapText="false" indent="0" shrinkToFit="false"/>
      <protection locked="true" hidden="false"/>
    </xf>
    <xf numFmtId="181" fontId="6" fillId="4" borderId="1" xfId="0" applyFont="true" applyBorder="true" applyAlignment="false" applyProtection="false">
      <alignment horizontal="general" vertical="bottom" textRotation="0" wrapText="false" indent="0" shrinkToFit="false"/>
      <protection locked="true" hidden="false"/>
    </xf>
    <xf numFmtId="182" fontId="6" fillId="4" borderId="1" xfId="0" applyFont="true" applyBorder="true" applyAlignment="false" applyProtection="false">
      <alignment horizontal="general" vertical="bottom" textRotation="0" wrapText="false" indent="0" shrinkToFit="false"/>
      <protection locked="true" hidden="false"/>
    </xf>
    <xf numFmtId="183" fontId="6"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84"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45" hidden="false" customHeight="true" outlineLevel="0" collapsed="false">
      <c r="B12" s="3" t="s">
        <v>9</v>
      </c>
    </row>
    <row r="13" customFormat="false" ht="15" hidden="false" customHeight="false" outlineLevel="0" collapsed="false">
      <c r="B13" s="3"/>
    </row>
    <row r="14" customFormat="false" ht="15" hidden="false" customHeight="true" outlineLevel="0" collapsed="false">
      <c r="B14" s="3" t="s">
        <v>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11</v>
      </c>
    </row>
    <row r="3" customFormat="false" ht="15" hidden="false" customHeight="false" outlineLevel="0" collapsed="false">
      <c r="B3" s="6" t="s">
        <v>12</v>
      </c>
    </row>
    <row r="5" customFormat="false" ht="15" hidden="false" customHeight="false" outlineLevel="0" collapsed="false">
      <c r="B5" s="7" t="s">
        <v>13</v>
      </c>
      <c r="C5" s="8"/>
      <c r="D5" s="8"/>
    </row>
    <row r="6" customFormat="false" ht="15" hidden="false" customHeight="false" outlineLevel="0" collapsed="false">
      <c r="B6" s="9" t="s">
        <v>14</v>
      </c>
      <c r="C6" s="10" t="n">
        <v>850</v>
      </c>
    </row>
    <row r="7" customFormat="false" ht="15" hidden="false" customHeight="false" outlineLevel="0" collapsed="false">
      <c r="B7" s="9" t="s">
        <v>15</v>
      </c>
      <c r="C7" s="10" t="n">
        <v>382</v>
      </c>
      <c r="D7" s="6" t="s">
        <v>16</v>
      </c>
    </row>
    <row r="8" customFormat="false" ht="15" hidden="false" customHeight="false" outlineLevel="0" collapsed="false">
      <c r="B8" s="9" t="s">
        <v>17</v>
      </c>
      <c r="C8" s="11" t="n">
        <v>2050</v>
      </c>
      <c r="D8" s="6" t="s">
        <v>18</v>
      </c>
    </row>
    <row r="9" customFormat="false" ht="15" hidden="false" customHeight="false" outlineLevel="0" collapsed="false">
      <c r="B9" s="9" t="s">
        <v>19</v>
      </c>
      <c r="C9" s="12" t="n">
        <v>0.025</v>
      </c>
      <c r="D9" s="6" t="s">
        <v>20</v>
      </c>
    </row>
    <row r="10" customFormat="false" ht="15" hidden="false" customHeight="false" outlineLevel="0" collapsed="false">
      <c r="B10" s="9" t="s">
        <v>21</v>
      </c>
      <c r="C10" s="11" t="n">
        <v>1750</v>
      </c>
      <c r="D10" s="6" t="s">
        <v>18</v>
      </c>
    </row>
    <row r="11" customFormat="false" ht="15" hidden="false" customHeight="false" outlineLevel="0" collapsed="false">
      <c r="B11" s="9" t="s">
        <v>22</v>
      </c>
      <c r="C11" s="12" t="n">
        <v>0.03</v>
      </c>
      <c r="D11" s="6" t="s">
        <v>20</v>
      </c>
    </row>
    <row r="12" customFormat="false" ht="15" hidden="false" customHeight="false" outlineLevel="0" collapsed="false">
      <c r="B12" s="9" t="s">
        <v>23</v>
      </c>
      <c r="C12" s="13" t="n">
        <v>0.03</v>
      </c>
    </row>
    <row r="13" customFormat="false" ht="15" hidden="false" customHeight="false" outlineLevel="0" collapsed="false">
      <c r="B13" s="9" t="s">
        <v>24</v>
      </c>
      <c r="C13" s="12" t="n">
        <v>0.01</v>
      </c>
    </row>
    <row r="14" customFormat="false" ht="15" hidden="false" customHeight="false" outlineLevel="0" collapsed="false">
      <c r="B14" s="9" t="s">
        <v>25</v>
      </c>
      <c r="C14" s="14" t="n">
        <v>4</v>
      </c>
    </row>
    <row r="15" customFormat="false" ht="15" hidden="false" customHeight="false" outlineLevel="0" collapsed="false">
      <c r="B15" s="9" t="s">
        <v>26</v>
      </c>
      <c r="C15" s="14" t="n">
        <v>0</v>
      </c>
      <c r="D15" s="6" t="s">
        <v>27</v>
      </c>
    </row>
    <row r="16" customFormat="false" ht="15" hidden="false" customHeight="false" outlineLevel="0" collapsed="false">
      <c r="B16" s="9" t="s">
        <v>28</v>
      </c>
      <c r="C16" s="14" t="n">
        <v>60</v>
      </c>
      <c r="D16" s="6" t="s">
        <v>29</v>
      </c>
    </row>
    <row r="18" customFormat="false" ht="15" hidden="false" customHeight="false" outlineLevel="0" collapsed="false">
      <c r="B18" s="7" t="s">
        <v>30</v>
      </c>
      <c r="C18" s="8"/>
      <c r="D18" s="8"/>
    </row>
    <row r="19" customFormat="false" ht="15" hidden="false" customHeight="false" outlineLevel="0" collapsed="false">
      <c r="B19" s="9" t="s">
        <v>31</v>
      </c>
      <c r="C19" s="15" t="n">
        <v>0.7</v>
      </c>
    </row>
    <row r="20" customFormat="false" ht="15" hidden="false" customHeight="false" outlineLevel="0" collapsed="false">
      <c r="B20" s="9" t="s">
        <v>32</v>
      </c>
      <c r="C20" s="11" t="n">
        <v>1150</v>
      </c>
      <c r="D20" s="6" t="s">
        <v>18</v>
      </c>
    </row>
    <row r="21" customFormat="false" ht="15" hidden="false" customHeight="false" outlineLevel="0" collapsed="false">
      <c r="B21" s="9" t="s">
        <v>33</v>
      </c>
      <c r="C21" s="12" t="n">
        <v>0.03</v>
      </c>
      <c r="D21" s="6" t="s">
        <v>20</v>
      </c>
    </row>
    <row r="22" customFormat="false" ht="15" hidden="false" customHeight="false" outlineLevel="0" collapsed="false">
      <c r="B22" s="9" t="s">
        <v>34</v>
      </c>
      <c r="C22" s="14" t="n">
        <v>40</v>
      </c>
    </row>
    <row r="23" customFormat="false" ht="15" hidden="false" customHeight="false" outlineLevel="0" collapsed="false">
      <c r="B23" s="9" t="s">
        <v>35</v>
      </c>
      <c r="C23" s="16" t="n">
        <v>16</v>
      </c>
      <c r="D23" s="6" t="s">
        <v>36</v>
      </c>
    </row>
    <row r="24" customFormat="false" ht="15" hidden="false" customHeight="false" outlineLevel="0" collapsed="false">
      <c r="B24" s="9" t="s">
        <v>37</v>
      </c>
      <c r="C24" s="11" t="n">
        <v>350</v>
      </c>
      <c r="D24" s="6" t="s">
        <v>18</v>
      </c>
    </row>
    <row r="25" customFormat="false" ht="15" hidden="false" customHeight="false" outlineLevel="0" collapsed="false">
      <c r="B25" s="9" t="s">
        <v>38</v>
      </c>
      <c r="C25" s="12" t="n">
        <v>0.025</v>
      </c>
      <c r="D25" s="6" t="s">
        <v>20</v>
      </c>
    </row>
    <row r="26" customFormat="false" ht="15" hidden="false" customHeight="false" outlineLevel="0" collapsed="false">
      <c r="B26" s="9" t="s">
        <v>39</v>
      </c>
      <c r="C26" s="17" t="n">
        <v>4.5</v>
      </c>
      <c r="D26" s="6" t="s">
        <v>40</v>
      </c>
    </row>
    <row r="27" customFormat="false" ht="15" hidden="false" customHeight="false" outlineLevel="0" collapsed="false">
      <c r="B27" s="9" t="s">
        <v>41</v>
      </c>
      <c r="C27" s="12" t="n">
        <v>0.03</v>
      </c>
      <c r="D27" s="6" t="s">
        <v>20</v>
      </c>
    </row>
    <row r="28" customFormat="false" ht="15" hidden="false" customHeight="false" outlineLevel="0" collapsed="false">
      <c r="B28" s="9" t="s">
        <v>42</v>
      </c>
      <c r="C28" s="11" t="n">
        <v>1200</v>
      </c>
      <c r="D28" s="6" t="s">
        <v>43</v>
      </c>
    </row>
    <row r="29" customFormat="false" ht="15" hidden="false" customHeight="false" outlineLevel="0" collapsed="false">
      <c r="B29" s="9" t="s">
        <v>44</v>
      </c>
      <c r="C29" s="12" t="n">
        <v>0.03</v>
      </c>
      <c r="D29" s="6" t="s">
        <v>20</v>
      </c>
    </row>
    <row r="30" customFormat="false" ht="15" hidden="false" customHeight="false" outlineLevel="0" collapsed="false">
      <c r="B30" s="9" t="s">
        <v>45</v>
      </c>
      <c r="C30" s="11" t="n">
        <v>15000</v>
      </c>
      <c r="D30" s="6" t="s">
        <v>43</v>
      </c>
    </row>
    <row r="32" customFormat="false" ht="15" hidden="false" customHeight="false" outlineLevel="0" collapsed="false">
      <c r="B32" s="7" t="s">
        <v>46</v>
      </c>
      <c r="C32" s="8"/>
      <c r="D32" s="8"/>
    </row>
    <row r="33" customFormat="false" ht="15" hidden="false" customHeight="false" outlineLevel="0" collapsed="false">
      <c r="B33" s="9" t="s">
        <v>47</v>
      </c>
      <c r="C33" s="17" t="n">
        <v>282</v>
      </c>
      <c r="D33" s="6" t="s">
        <v>40</v>
      </c>
    </row>
    <row r="34" customFormat="false" ht="15" hidden="false" customHeight="false" outlineLevel="0" collapsed="false">
      <c r="B34" s="9" t="s">
        <v>48</v>
      </c>
      <c r="C34" s="12" t="n">
        <v>0.02</v>
      </c>
    </row>
    <row r="35" customFormat="false" ht="15" hidden="false" customHeight="false" outlineLevel="0" collapsed="false">
      <c r="B35" s="9" t="s">
        <v>49</v>
      </c>
      <c r="C35" s="16" t="n">
        <v>21</v>
      </c>
      <c r="D35" s="6" t="s">
        <v>36</v>
      </c>
    </row>
    <row r="36" customFormat="false" ht="15" hidden="false" customHeight="false" outlineLevel="0" collapsed="false">
      <c r="B36" s="9" t="s">
        <v>50</v>
      </c>
      <c r="C36" s="12" t="n">
        <v>0.015</v>
      </c>
    </row>
    <row r="37" customFormat="false" ht="15" hidden="false" customHeight="false" outlineLevel="0" collapsed="false">
      <c r="B37" s="9" t="s">
        <v>51</v>
      </c>
      <c r="C37" s="16" t="n">
        <v>7</v>
      </c>
      <c r="D37" s="6" t="s">
        <v>36</v>
      </c>
    </row>
    <row r="38" customFormat="false" ht="15" hidden="false" customHeight="false" outlineLevel="0" collapsed="false">
      <c r="B38" s="9" t="s">
        <v>52</v>
      </c>
      <c r="C38" s="18" t="n">
        <v>0.0625</v>
      </c>
    </row>
    <row r="39" customFormat="false" ht="15" hidden="false" customHeight="false" outlineLevel="0" collapsed="false">
      <c r="B39" s="9" t="s">
        <v>53</v>
      </c>
      <c r="C39" s="14" t="n">
        <v>7</v>
      </c>
    </row>
    <row r="40" customFormat="false" ht="15" hidden="false" customHeight="false" outlineLevel="0" collapsed="false">
      <c r="B40" s="9" t="s">
        <v>54</v>
      </c>
      <c r="C40" s="16" t="n">
        <v>7</v>
      </c>
      <c r="D40" s="6" t="s">
        <v>36</v>
      </c>
    </row>
    <row r="41" customFormat="false" ht="15" hidden="false" customHeight="false" outlineLevel="0" collapsed="false">
      <c r="B41" s="9" t="s">
        <v>55</v>
      </c>
      <c r="C41" s="18" t="n">
        <v>0.065</v>
      </c>
    </row>
    <row r="42" customFormat="false" ht="15" hidden="false" customHeight="false" outlineLevel="0" collapsed="false">
      <c r="B42" s="9" t="s">
        <v>56</v>
      </c>
      <c r="C42" s="12" t="n">
        <v>0.01</v>
      </c>
    </row>
    <row r="43" customFormat="false" ht="15" hidden="false" customHeight="false" outlineLevel="0" collapsed="false">
      <c r="B43" s="9" t="s">
        <v>57</v>
      </c>
      <c r="C43" s="19" t="n">
        <v>8.5</v>
      </c>
      <c r="D43" s="6" t="s">
        <v>36</v>
      </c>
    </row>
    <row r="44" customFormat="false" ht="15" hidden="false" customHeight="false" outlineLevel="0" collapsed="false">
      <c r="B44" s="9" t="s">
        <v>58</v>
      </c>
      <c r="C44" s="19" t="n">
        <v>1.75</v>
      </c>
      <c r="D44" s="6" t="s">
        <v>36</v>
      </c>
    </row>
    <row r="45" customFormat="false" ht="15" hidden="false" customHeight="false" outlineLevel="0" collapsed="false">
      <c r="B45" s="9" t="s">
        <v>59</v>
      </c>
      <c r="C45" s="12" t="n">
        <v>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60</v>
      </c>
    </row>
    <row r="3" customFormat="false" ht="15" hidden="false" customHeight="false" outlineLevel="0" collapsed="false">
      <c r="B3" s="6" t="s">
        <v>61</v>
      </c>
    </row>
    <row r="5" customFormat="false" ht="15" hidden="false" customHeight="false" outlineLevel="0" collapsed="false">
      <c r="B5" s="7" t="s">
        <v>62</v>
      </c>
      <c r="C5" s="8"/>
      <c r="D5" s="8"/>
      <c r="E5" s="8"/>
      <c r="F5" s="8"/>
      <c r="G5" s="8"/>
      <c r="H5" s="8"/>
      <c r="I5" s="8"/>
      <c r="J5" s="8"/>
      <c r="K5" s="8"/>
      <c r="L5" s="8"/>
      <c r="M5" s="8"/>
      <c r="N5" s="8"/>
    </row>
    <row r="6" customFormat="false" ht="15" hidden="false" customHeight="false" outlineLevel="0" collapsed="false">
      <c r="B6" s="9" t="s">
        <v>23</v>
      </c>
      <c r="C6" s="20" t="n">
        <f aca="false">Inputs!$C$12</f>
        <v>0.03</v>
      </c>
    </row>
    <row r="7" customFormat="false" ht="15" hidden="false" customHeight="false" outlineLevel="0" collapsed="false">
      <c r="B7" s="9" t="s">
        <v>34</v>
      </c>
      <c r="C7" s="21" t="n">
        <f aca="false">Inputs!$C$22</f>
        <v>40</v>
      </c>
    </row>
    <row r="8" customFormat="false" ht="15" hidden="false" customHeight="false" outlineLevel="0" collapsed="false">
      <c r="B8" s="9" t="s">
        <v>63</v>
      </c>
      <c r="C8" s="21" t="n">
        <f aca="false">Inputs!$C$15</f>
        <v>0</v>
      </c>
    </row>
    <row r="9" customFormat="false" ht="15" hidden="false" customHeight="false" outlineLevel="0" collapsed="false">
      <c r="B9" s="9" t="s">
        <v>64</v>
      </c>
      <c r="C9" s="22" t="n">
        <f aca="false">Inputs!$C$35</f>
        <v>21</v>
      </c>
    </row>
    <row r="10" customFormat="false" ht="15" hidden="false" customHeight="false" outlineLevel="0" collapsed="false">
      <c r="B10" s="23" t="s">
        <v>65</v>
      </c>
      <c r="C10" s="24"/>
      <c r="D10" s="24" t="n">
        <v>0</v>
      </c>
      <c r="E10" s="24" t="n">
        <v>1</v>
      </c>
      <c r="F10" s="24" t="n">
        <v>2</v>
      </c>
      <c r="G10" s="24" t="n">
        <v>3</v>
      </c>
      <c r="H10" s="24" t="n">
        <v>4</v>
      </c>
      <c r="I10" s="24" t="n">
        <v>5</v>
      </c>
      <c r="J10" s="24" t="n">
        <v>6</v>
      </c>
      <c r="K10" s="24" t="n">
        <v>7</v>
      </c>
      <c r="L10" s="24" t="n">
        <v>8</v>
      </c>
      <c r="M10" s="24" t="n">
        <v>9</v>
      </c>
      <c r="N10" s="24" t="n">
        <v>10</v>
      </c>
    </row>
    <row r="11" customFormat="false" ht="15" hidden="false" customHeight="false" outlineLevel="0" collapsed="false">
      <c r="B11" s="9" t="s">
        <v>66</v>
      </c>
      <c r="E11" s="25" t="n">
        <f aca="false">Inputs!$C$6*$C$6</f>
        <v>25.5</v>
      </c>
      <c r="F11" s="25" t="n">
        <f aca="false">Inputs!$C$6*$C$6</f>
        <v>25.5</v>
      </c>
      <c r="G11" s="25" t="n">
        <f aca="false">Inputs!$C$6*$C$6</f>
        <v>25.5</v>
      </c>
      <c r="H11" s="25" t="n">
        <f aca="false">Inputs!$C$6*$C$6</f>
        <v>25.5</v>
      </c>
      <c r="I11" s="25" t="n">
        <f aca="false">Inputs!$C$6*$C$6</f>
        <v>25.5</v>
      </c>
      <c r="J11" s="25" t="n">
        <f aca="false">Inputs!$C$6*$C$6</f>
        <v>25.5</v>
      </c>
      <c r="K11" s="25" t="n">
        <f aca="false">Inputs!$C$6*$C$6</f>
        <v>25.5</v>
      </c>
      <c r="L11" s="25" t="n">
        <f aca="false">Inputs!$C$6*$C$6</f>
        <v>25.5</v>
      </c>
      <c r="M11" s="25" t="n">
        <f aca="false">Inputs!$C$6*$C$6</f>
        <v>25.5</v>
      </c>
      <c r="N11" s="25" t="n">
        <f aca="false">Inputs!$C$6*$C$6</f>
        <v>25.5</v>
      </c>
    </row>
    <row r="12" customFormat="false" ht="15" hidden="false" customHeight="false" outlineLevel="0" collapsed="false">
      <c r="B12" s="9" t="s">
        <v>67</v>
      </c>
      <c r="E12" s="26" t="n">
        <f aca="false">D14*Inputs!$C$13</f>
        <v>3.82</v>
      </c>
      <c r="F12" s="26" t="n">
        <f aca="false">E14*Inputs!$C$13</f>
        <v>4.0368</v>
      </c>
      <c r="G12" s="26" t="n">
        <f aca="false">F14*Inputs!$C$13</f>
        <v>4.251432</v>
      </c>
      <c r="H12" s="26" t="n">
        <f aca="false">G14*Inputs!$C$13</f>
        <v>4.46391768</v>
      </c>
      <c r="I12" s="26" t="n">
        <f aca="false">H14*Inputs!$C$13</f>
        <v>4.6742785032</v>
      </c>
      <c r="J12" s="26" t="n">
        <f aca="false">I14*Inputs!$C$13</f>
        <v>4.882535718168</v>
      </c>
      <c r="K12" s="26" t="n">
        <f aca="false">J14*Inputs!$C$13</f>
        <v>5.08871036098632</v>
      </c>
      <c r="L12" s="26" t="n">
        <f aca="false">K14*Inputs!$C$13</f>
        <v>5.29282325737646</v>
      </c>
      <c r="M12" s="26" t="n">
        <f aca="false">L14*Inputs!$C$13</f>
        <v>5.49489502480269</v>
      </c>
      <c r="N12" s="26" t="n">
        <f aca="false">M14*Inputs!$C$13</f>
        <v>5.69494607455467</v>
      </c>
    </row>
    <row r="13" customFormat="false" ht="15" hidden="false" customHeight="false" outlineLevel="0" collapsed="false">
      <c r="B13" s="9" t="s">
        <v>68</v>
      </c>
      <c r="E13" s="25" t="n">
        <f aca="false">IF(AND($C$8&gt;0,OR(E$10=Inputs!$C$14,E$10=Inputs!$C$14+1)),$C$8/2,0)</f>
        <v>0</v>
      </c>
      <c r="F13" s="25" t="n">
        <f aca="false">IF(AND($C$8&gt;0,OR(F$10=Inputs!$C$14,F$10=Inputs!$C$14+1)),$C$8/2,0)</f>
        <v>0</v>
      </c>
      <c r="G13" s="25" t="n">
        <f aca="false">IF(AND($C$8&gt;0,OR(G$10=Inputs!$C$14,G$10=Inputs!$C$14+1)),$C$8/2,0)</f>
        <v>0</v>
      </c>
      <c r="H13" s="25" t="n">
        <f aca="false">IF(AND($C$8&gt;0,OR(H$10=Inputs!$C$14,H$10=Inputs!$C$14+1)),$C$8/2,0)</f>
        <v>0</v>
      </c>
      <c r="I13" s="25" t="n">
        <f aca="false">IF(AND($C$8&gt;0,OR(I$10=Inputs!$C$14,I$10=Inputs!$C$14+1)),$C$8/2,0)</f>
        <v>0</v>
      </c>
      <c r="J13" s="25" t="n">
        <f aca="false">IF(AND($C$8&gt;0,OR(J$10=Inputs!$C$14,J$10=Inputs!$C$14+1)),$C$8/2,0)</f>
        <v>0</v>
      </c>
      <c r="K13" s="25" t="n">
        <f aca="false">IF(AND($C$8&gt;0,OR(K$10=Inputs!$C$14,K$10=Inputs!$C$14+1)),$C$8/2,0)</f>
        <v>0</v>
      </c>
      <c r="L13" s="25" t="n">
        <f aca="false">IF(AND($C$8&gt;0,OR(L$10=Inputs!$C$14,L$10=Inputs!$C$14+1)),$C$8/2,0)</f>
        <v>0</v>
      </c>
      <c r="M13" s="25" t="n">
        <f aca="false">IF(AND($C$8&gt;0,OR(M$10=Inputs!$C$14,M$10=Inputs!$C$14+1)),$C$8/2,0)</f>
        <v>0</v>
      </c>
      <c r="N13" s="25" t="n">
        <f aca="false">IF(AND($C$8&gt;0,OR(N$10=Inputs!$C$14,N$10=Inputs!$C$14+1)),$C$8/2,0)</f>
        <v>0</v>
      </c>
    </row>
    <row r="14" customFormat="false" ht="15" hidden="false" customHeight="false" outlineLevel="0" collapsed="false">
      <c r="B14" s="9" t="s">
        <v>69</v>
      </c>
      <c r="D14" s="25" t="n">
        <f aca="false">Inputs!$C$7</f>
        <v>382</v>
      </c>
      <c r="E14" s="25" t="n">
        <f aca="false">D14+E11-E12-E13</f>
        <v>403.68</v>
      </c>
      <c r="F14" s="25" t="n">
        <f aca="false">E14+F11-F12-F13</f>
        <v>425.1432</v>
      </c>
      <c r="G14" s="25" t="n">
        <f aca="false">F14+G11-G12-G13</f>
        <v>446.391768</v>
      </c>
      <c r="H14" s="25" t="n">
        <f aca="false">G14+H11-H12-H13</f>
        <v>467.42785032</v>
      </c>
      <c r="I14" s="25" t="n">
        <f aca="false">H14+I11-I12-I13</f>
        <v>488.2535718168</v>
      </c>
      <c r="J14" s="25" t="n">
        <f aca="false">I14+J11-J12-J13</f>
        <v>508.871036098632</v>
      </c>
      <c r="K14" s="25" t="n">
        <f aca="false">J14+K11-K12-K13</f>
        <v>529.282325737646</v>
      </c>
      <c r="L14" s="25" t="n">
        <f aca="false">K14+L11-L12-L13</f>
        <v>549.489502480269</v>
      </c>
      <c r="M14" s="25" t="n">
        <f aca="false">L14+M11-M12-M13</f>
        <v>569.494607455467</v>
      </c>
      <c r="N14" s="25" t="n">
        <f aca="false">M14+N11-N12-N13</f>
        <v>589.299661380912</v>
      </c>
    </row>
    <row r="15" customFormat="false" ht="15" hidden="false" customHeight="false" outlineLevel="0" collapsed="false">
      <c r="B15" s="9" t="s">
        <v>70</v>
      </c>
      <c r="E15" s="25" t="n">
        <f aca="false">(E14+D14)/2</f>
        <v>392.84</v>
      </c>
      <c r="F15" s="25" t="n">
        <f aca="false">(F14+E14)/2</f>
        <v>414.4116</v>
      </c>
      <c r="G15" s="25" t="n">
        <f aca="false">(G14+F14)/2</f>
        <v>435.767484</v>
      </c>
      <c r="H15" s="25" t="n">
        <f aca="false">(H14+G14)/2</f>
        <v>456.90980916</v>
      </c>
      <c r="I15" s="25" t="n">
        <f aca="false">(I14+H14)/2</f>
        <v>477.8407110684</v>
      </c>
      <c r="J15" s="25" t="n">
        <f aca="false">(J14+I14)/2</f>
        <v>498.562303957716</v>
      </c>
      <c r="K15" s="25" t="n">
        <f aca="false">(K14+J14)/2</f>
        <v>519.076680918139</v>
      </c>
      <c r="L15" s="25" t="n">
        <f aca="false">(L14+K14)/2</f>
        <v>539.385914108957</v>
      </c>
      <c r="M15" s="25" t="n">
        <f aca="false">(M14+L14)/2</f>
        <v>559.492054967868</v>
      </c>
      <c r="N15" s="25" t="n">
        <f aca="false">(N14+M14)/2</f>
        <v>579.397134418189</v>
      </c>
    </row>
    <row r="16" customFormat="false" ht="15" hidden="false" customHeight="false" outlineLevel="0" collapsed="false">
      <c r="B16" s="9" t="s">
        <v>71</v>
      </c>
      <c r="D16" s="26" t="n">
        <f aca="false">(Inputs!$C$6+D14)/Inputs!$C$6</f>
        <v>1.44941176470588</v>
      </c>
      <c r="E16" s="26" t="n">
        <f aca="false">(Inputs!$C$6+E14)/Inputs!$C$6</f>
        <v>1.47491764705882</v>
      </c>
      <c r="F16" s="26" t="n">
        <f aca="false">(Inputs!$C$6+F14)/Inputs!$C$6</f>
        <v>1.50016847058824</v>
      </c>
      <c r="G16" s="26" t="n">
        <f aca="false">(Inputs!$C$6+G14)/Inputs!$C$6</f>
        <v>1.52516678588235</v>
      </c>
      <c r="H16" s="26" t="n">
        <f aca="false">(Inputs!$C$6+H14)/Inputs!$C$6</f>
        <v>1.54991511802353</v>
      </c>
      <c r="I16" s="26" t="n">
        <f aca="false">(Inputs!$C$6+I14)/Inputs!$C$6</f>
        <v>1.57441596684329</v>
      </c>
      <c r="J16" s="26" t="n">
        <f aca="false">(Inputs!$C$6+J14)/Inputs!$C$6</f>
        <v>1.59867180717486</v>
      </c>
      <c r="K16" s="26" t="n">
        <f aca="false">(Inputs!$C$6+K14)/Inputs!$C$6</f>
        <v>1.62268508910311</v>
      </c>
      <c r="L16" s="26" t="n">
        <f aca="false">(Inputs!$C$6+L14)/Inputs!$C$6</f>
        <v>1.64645823821208</v>
      </c>
      <c r="M16" s="26" t="n">
        <f aca="false">(Inputs!$C$6+M14)/Inputs!$C$6</f>
        <v>1.66999365582996</v>
      </c>
      <c r="N16" s="26" t="n">
        <f aca="false">(Inputs!$C$6+N14)/Inputs!$C$6</f>
        <v>1.69329371927166</v>
      </c>
    </row>
    <row r="17" customFormat="false" ht="15" hidden="false" customHeight="false" outlineLevel="0" collapsed="false">
      <c r="B17" s="9" t="s">
        <v>72</v>
      </c>
      <c r="D17" s="27" t="n">
        <f aca="false">ROUND(Inputs!$C$6*Inputs!$C$19,0)</f>
        <v>595</v>
      </c>
      <c r="E17" s="27" t="n">
        <f aca="false">MAX(0,D17-$C$7)</f>
        <v>555</v>
      </c>
      <c r="F17" s="27" t="n">
        <f aca="false">MAX(0,E17-$C$7)</f>
        <v>515</v>
      </c>
      <c r="G17" s="27" t="n">
        <f aca="false">MAX(0,F17-$C$7)</f>
        <v>475</v>
      </c>
      <c r="H17" s="27" t="n">
        <f aca="false">MAX(0,G17-$C$7)</f>
        <v>435</v>
      </c>
      <c r="I17" s="27" t="n">
        <f aca="false">MAX(0,H17-$C$7)</f>
        <v>395</v>
      </c>
      <c r="J17" s="27" t="n">
        <f aca="false">MAX(0,I17-$C$7)</f>
        <v>355</v>
      </c>
      <c r="K17" s="27" t="n">
        <f aca="false">MAX(0,J17-$C$7)</f>
        <v>315</v>
      </c>
      <c r="L17" s="27" t="n">
        <f aca="false">MAX(0,K17-$C$7)</f>
        <v>275</v>
      </c>
      <c r="M17" s="27" t="n">
        <f aca="false">MAX(0,L17-$C$7)</f>
        <v>235</v>
      </c>
      <c r="N17" s="27" t="n">
        <f aca="false">MAX(0,M17-$C$7)</f>
        <v>195</v>
      </c>
    </row>
    <row r="18" customFormat="false" ht="15" hidden="false" customHeight="false" outlineLevel="0" collapsed="false">
      <c r="B18" s="9" t="s">
        <v>73</v>
      </c>
      <c r="E18" s="25" t="n">
        <f aca="false">(E17+D17)/2</f>
        <v>575</v>
      </c>
      <c r="F18" s="25" t="n">
        <f aca="false">(F17+E17)/2</f>
        <v>535</v>
      </c>
      <c r="G18" s="25" t="n">
        <f aca="false">(G17+F17)/2</f>
        <v>495</v>
      </c>
      <c r="H18" s="25" t="n">
        <f aca="false">(H17+G17)/2</f>
        <v>455</v>
      </c>
      <c r="I18" s="25" t="n">
        <f aca="false">(I17+H17)/2</f>
        <v>415</v>
      </c>
      <c r="J18" s="25" t="n">
        <f aca="false">(J17+I17)/2</f>
        <v>375</v>
      </c>
      <c r="K18" s="25" t="n">
        <f aca="false">(K17+J17)/2</f>
        <v>335</v>
      </c>
      <c r="L18" s="25" t="n">
        <f aca="false">(L17+K17)/2</f>
        <v>295</v>
      </c>
      <c r="M18" s="25" t="n">
        <f aca="false">(M17+L17)/2</f>
        <v>255</v>
      </c>
      <c r="N18" s="25" t="n">
        <f aca="false">(N17+M17)/2</f>
        <v>215</v>
      </c>
    </row>
    <row r="19" customFormat="false" ht="15" hidden="false" customHeight="false" outlineLevel="0" collapsed="false">
      <c r="B19" s="9" t="s">
        <v>74</v>
      </c>
      <c r="E19" s="28" t="n">
        <f aca="false">Inputs!$C$6*Inputs!$C$8*12*(1+Inputs!$C$9)^(E$10-1)/1000000</f>
        <v>20.91</v>
      </c>
      <c r="F19" s="28" t="n">
        <f aca="false">Inputs!$C$6*Inputs!$C$8*12*(1+Inputs!$C$9)^(F$10-1)/1000000</f>
        <v>21.43275</v>
      </c>
      <c r="G19" s="28" t="n">
        <f aca="false">Inputs!$C$6*Inputs!$C$8*12*(1+Inputs!$C$9)^(G$10-1)/1000000</f>
        <v>21.96856875</v>
      </c>
      <c r="H19" s="28" t="n">
        <f aca="false">Inputs!$C$6*Inputs!$C$8*12*(1+Inputs!$C$9)^(H$10-1)/1000000</f>
        <v>22.51778296875</v>
      </c>
      <c r="I19" s="28" t="n">
        <f aca="false">Inputs!$C$6*Inputs!$C$8*12*(1+Inputs!$C$9)^(I$10-1)/1000000</f>
        <v>23.0807275429687</v>
      </c>
      <c r="J19" s="28" t="n">
        <f aca="false">Inputs!$C$6*Inputs!$C$8*12*(1+Inputs!$C$9)^(J$10-1)/1000000</f>
        <v>23.657745731543</v>
      </c>
      <c r="K19" s="28" t="n">
        <f aca="false">Inputs!$C$6*Inputs!$C$8*12*(1+Inputs!$C$9)^(K$10-1)/1000000</f>
        <v>24.2491893748315</v>
      </c>
      <c r="L19" s="28" t="n">
        <f aca="false">Inputs!$C$6*Inputs!$C$8*12*(1+Inputs!$C$9)^(L$10-1)/1000000</f>
        <v>24.8554191092023</v>
      </c>
      <c r="M19" s="28" t="n">
        <f aca="false">Inputs!$C$6*Inputs!$C$8*12*(1+Inputs!$C$9)^(M$10-1)/1000000</f>
        <v>25.4768045869324</v>
      </c>
      <c r="N19" s="28" t="n">
        <f aca="false">Inputs!$C$6*Inputs!$C$8*12*(1+Inputs!$C$9)^(N$10-1)/1000000</f>
        <v>26.1137247016057</v>
      </c>
    </row>
    <row r="20" customFormat="false" ht="15" hidden="false" customHeight="false" outlineLevel="0" collapsed="false">
      <c r="B20" s="9" t="s">
        <v>75</v>
      </c>
      <c r="E20" s="28" t="n">
        <f aca="false">E15*Inputs!$C$10*12*(1+Inputs!$C$11)^(E$10-1)/1000000</f>
        <v>8.24964</v>
      </c>
      <c r="F20" s="28" t="n">
        <f aca="false">F15*Inputs!$C$10*12*(1+Inputs!$C$11)^(F$10-1)/1000000</f>
        <v>8.963722908</v>
      </c>
      <c r="G20" s="28" t="n">
        <f aca="false">G15*Inputs!$C$10*12*(1+Inputs!$C$11)^(G$10-1)/1000000</f>
        <v>9.7084201992876</v>
      </c>
      <c r="H20" s="28" t="n">
        <f aca="false">H15*Inputs!$C$10*12*(1+Inputs!$C$11)^(H$10-1)/1000000</f>
        <v>10.4848313857136</v>
      </c>
      <c r="I20" s="28" t="n">
        <f aca="false">I15*Inputs!$C$10*12*(1+Inputs!$C$11)^(I$10-1)/1000000</f>
        <v>11.2940925317671</v>
      </c>
      <c r="J20" s="28" t="n">
        <f aca="false">J15*Inputs!$C$10*12*(1+Inputs!$C$11)^(J$10-1)/1000000</f>
        <v>12.1373774214306</v>
      </c>
      <c r="K20" s="28" t="n">
        <f aca="false">K15*Inputs!$C$10*12*(1+Inputs!$C$11)^(K$10-1)/1000000</f>
        <v>13.015898761424</v>
      </c>
      <c r="L20" s="28" t="n">
        <f aca="false">L15*Inputs!$C$10*12*(1+Inputs!$C$11)^(L$10-1)/1000000</f>
        <v>13.9309094219591</v>
      </c>
      <c r="M20" s="28" t="n">
        <f aca="false">M15*Inputs!$C$10*12*(1+Inputs!$C$11)^(M$10-1)/1000000</f>
        <v>14.8837037161548</v>
      </c>
      <c r="N20" s="28" t="n">
        <f aca="false">N15*Inputs!$C$10*12*(1+Inputs!$C$11)^(N$10-1)/1000000</f>
        <v>15.8756187193036</v>
      </c>
    </row>
    <row r="21" customFormat="false" ht="15" hidden="false" customHeight="false" outlineLevel="0" collapsed="false">
      <c r="B21" s="9" t="s">
        <v>76</v>
      </c>
      <c r="E21" s="28" t="n">
        <f aca="false">E19+E20</f>
        <v>29.15964</v>
      </c>
      <c r="F21" s="28" t="n">
        <f aca="false">F19+F20</f>
        <v>30.396472908</v>
      </c>
      <c r="G21" s="28" t="n">
        <f aca="false">G19+G20</f>
        <v>31.6769889492876</v>
      </c>
      <c r="H21" s="28" t="n">
        <f aca="false">H19+H20</f>
        <v>33.0026143544636</v>
      </c>
      <c r="I21" s="28" t="n">
        <f aca="false">I19+I20</f>
        <v>34.3748200747359</v>
      </c>
      <c r="J21" s="28" t="n">
        <f aca="false">J19+J20</f>
        <v>35.7951231529735</v>
      </c>
      <c r="K21" s="28" t="n">
        <f aca="false">K19+K20</f>
        <v>37.2650881362556</v>
      </c>
      <c r="L21" s="28" t="n">
        <f aca="false">L19+L20</f>
        <v>38.7863285311614</v>
      </c>
      <c r="M21" s="28" t="n">
        <f aca="false">M19+M20</f>
        <v>40.3605083030872</v>
      </c>
      <c r="N21" s="28" t="n">
        <f aca="false">N19+N20</f>
        <v>41.9893434209093</v>
      </c>
    </row>
    <row r="22" customFormat="false" ht="15" hidden="false" customHeight="false" outlineLevel="0" collapsed="false">
      <c r="B22" s="9" t="s">
        <v>77</v>
      </c>
      <c r="E22" s="28" t="n">
        <f aca="false">Inputs!$C$20*12*(1+Inputs!$C$21)^(E$10-1)</f>
        <v>13800</v>
      </c>
      <c r="F22" s="28" t="n">
        <f aca="false">Inputs!$C$20*12*(1+Inputs!$C$21)^(F$10-1)</f>
        <v>14214</v>
      </c>
      <c r="G22" s="28" t="n">
        <f aca="false">Inputs!$C$20*12*(1+Inputs!$C$21)^(G$10-1)</f>
        <v>14640.42</v>
      </c>
      <c r="H22" s="28" t="n">
        <f aca="false">Inputs!$C$20*12*(1+Inputs!$C$21)^(H$10-1)</f>
        <v>15079.6326</v>
      </c>
      <c r="I22" s="28" t="n">
        <f aca="false">Inputs!$C$20*12*(1+Inputs!$C$21)^(I$10-1)</f>
        <v>15532.021578</v>
      </c>
      <c r="J22" s="28" t="n">
        <f aca="false">Inputs!$C$20*12*(1+Inputs!$C$21)^(J$10-1)</f>
        <v>15997.98222534</v>
      </c>
      <c r="K22" s="28" t="n">
        <f aca="false">Inputs!$C$20*12*(1+Inputs!$C$21)^(K$10-1)</f>
        <v>16477.9216921002</v>
      </c>
      <c r="L22" s="28" t="n">
        <f aca="false">Inputs!$C$20*12*(1+Inputs!$C$21)^(L$10-1)</f>
        <v>16972.2593428632</v>
      </c>
      <c r="M22" s="28" t="n">
        <f aca="false">Inputs!$C$20*12*(1+Inputs!$C$21)^(M$10-1)</f>
        <v>17481.4271231491</v>
      </c>
      <c r="N22" s="28" t="n">
        <f aca="false">Inputs!$C$20*12*(1+Inputs!$C$21)^(N$10-1)</f>
        <v>18005.8699368436</v>
      </c>
    </row>
    <row r="23" customFormat="false" ht="15" hidden="false" customHeight="false" outlineLevel="0" collapsed="false">
      <c r="B23" s="9" t="s">
        <v>78</v>
      </c>
      <c r="E23" s="28" t="n">
        <f aca="false">E18*E22/1000000</f>
        <v>7.935</v>
      </c>
      <c r="F23" s="28" t="n">
        <f aca="false">F18*F22/1000000</f>
        <v>7.60449</v>
      </c>
      <c r="G23" s="28" t="n">
        <f aca="false">G18*G22/1000000</f>
        <v>7.2470079</v>
      </c>
      <c r="H23" s="28" t="n">
        <f aca="false">H18*H22/1000000</f>
        <v>6.861232833</v>
      </c>
      <c r="I23" s="28" t="n">
        <f aca="false">I18*I22/1000000</f>
        <v>6.44578895487</v>
      </c>
      <c r="J23" s="28" t="n">
        <f aca="false">J18*J22/1000000</f>
        <v>5.9992433345025</v>
      </c>
      <c r="K23" s="28" t="n">
        <f aca="false">K18*K22/1000000</f>
        <v>5.52010376685357</v>
      </c>
      <c r="L23" s="28" t="n">
        <f aca="false">L18*L22/1000000</f>
        <v>5.00681650614465</v>
      </c>
      <c r="M23" s="28" t="n">
        <f aca="false">M18*M22/1000000</f>
        <v>4.45776391640302</v>
      </c>
      <c r="N23" s="28" t="n">
        <f aca="false">N18*N22/1000000</f>
        <v>3.87126203642137</v>
      </c>
    </row>
    <row r="24" customFormat="false" ht="15" hidden="false" customHeight="false" outlineLevel="0" collapsed="false">
      <c r="B24" s="9" t="s">
        <v>79</v>
      </c>
      <c r="E24" s="28" t="n">
        <f aca="false">Inputs!$C$6*Inputs!$C$24*12*(1+Inputs!$C$25)^(E$10-1)/1000000</f>
        <v>3.57</v>
      </c>
      <c r="F24" s="28" t="n">
        <f aca="false">Inputs!$C$6*Inputs!$C$24*12*(1+Inputs!$C$25)^(F$10-1)/1000000</f>
        <v>3.65925</v>
      </c>
      <c r="G24" s="28" t="n">
        <f aca="false">Inputs!$C$6*Inputs!$C$24*12*(1+Inputs!$C$25)^(G$10-1)/1000000</f>
        <v>3.75073125</v>
      </c>
      <c r="H24" s="28" t="n">
        <f aca="false">Inputs!$C$6*Inputs!$C$24*12*(1+Inputs!$C$25)^(H$10-1)/1000000</f>
        <v>3.84449953125</v>
      </c>
      <c r="I24" s="28" t="n">
        <f aca="false">Inputs!$C$6*Inputs!$C$24*12*(1+Inputs!$C$25)^(I$10-1)/1000000</f>
        <v>3.94061201953125</v>
      </c>
      <c r="J24" s="28" t="n">
        <f aca="false">Inputs!$C$6*Inputs!$C$24*12*(1+Inputs!$C$25)^(J$10-1)/1000000</f>
        <v>4.03912732001953</v>
      </c>
      <c r="K24" s="28" t="n">
        <f aca="false">Inputs!$C$6*Inputs!$C$24*12*(1+Inputs!$C$25)^(K$10-1)/1000000</f>
        <v>4.14010550302002</v>
      </c>
      <c r="L24" s="28" t="n">
        <f aca="false">Inputs!$C$6*Inputs!$C$24*12*(1+Inputs!$C$25)^(L$10-1)/1000000</f>
        <v>4.24360814059552</v>
      </c>
      <c r="M24" s="28" t="n">
        <f aca="false">Inputs!$C$6*Inputs!$C$24*12*(1+Inputs!$C$25)^(M$10-1)/1000000</f>
        <v>4.34969834411041</v>
      </c>
      <c r="N24" s="28" t="n">
        <f aca="false">Inputs!$C$6*Inputs!$C$24*12*(1+Inputs!$C$25)^(N$10-1)/1000000</f>
        <v>4.45844080271317</v>
      </c>
    </row>
    <row r="25" customFormat="false" ht="15" hidden="false" customHeight="false" outlineLevel="0" collapsed="false">
      <c r="B25" s="9" t="s">
        <v>80</v>
      </c>
      <c r="E25" s="28" t="n">
        <f aca="false">Inputs!$C$26*(1+Inputs!$C$27)^(E$10-1)</f>
        <v>4.5</v>
      </c>
      <c r="F25" s="28" t="n">
        <f aca="false">Inputs!$C$26*(1+Inputs!$C$27)^(F$10-1)</f>
        <v>4.635</v>
      </c>
      <c r="G25" s="28" t="n">
        <f aca="false">Inputs!$C$26*(1+Inputs!$C$27)^(G$10-1)</f>
        <v>4.77405</v>
      </c>
      <c r="H25" s="28" t="n">
        <f aca="false">Inputs!$C$26*(1+Inputs!$C$27)^(H$10-1)</f>
        <v>4.9172715</v>
      </c>
      <c r="I25" s="28" t="n">
        <f aca="false">Inputs!$C$26*(1+Inputs!$C$27)^(I$10-1)</f>
        <v>5.064789645</v>
      </c>
      <c r="J25" s="28" t="n">
        <f aca="false">Inputs!$C$26*(1+Inputs!$C$27)^(J$10-1)</f>
        <v>5.21673333435</v>
      </c>
      <c r="K25" s="28" t="n">
        <f aca="false">Inputs!$C$26*(1+Inputs!$C$27)^(K$10-1)</f>
        <v>5.3732353343805</v>
      </c>
      <c r="L25" s="28" t="n">
        <f aca="false">Inputs!$C$26*(1+Inputs!$C$27)^(L$10-1)</f>
        <v>5.53443239441192</v>
      </c>
      <c r="M25" s="28" t="n">
        <f aca="false">Inputs!$C$26*(1+Inputs!$C$27)^(M$10-1)</f>
        <v>5.70046536624427</v>
      </c>
      <c r="N25" s="28" t="n">
        <f aca="false">Inputs!$C$26*(1+Inputs!$C$27)^(N$10-1)</f>
        <v>5.8714793272316</v>
      </c>
    </row>
    <row r="26" customFormat="false" ht="15" hidden="false" customHeight="false" outlineLevel="0" collapsed="false">
      <c r="B26" s="29" t="s">
        <v>81</v>
      </c>
      <c r="E26" s="30" t="n">
        <f aca="false">E21-E23-E24-E25</f>
        <v>13.15464</v>
      </c>
      <c r="F26" s="30" t="n">
        <f aca="false">F21-F23-F24-F25</f>
        <v>14.497732908</v>
      </c>
      <c r="G26" s="30" t="n">
        <f aca="false">G21-G23-G24-G25</f>
        <v>15.9051997992876</v>
      </c>
      <c r="H26" s="30" t="n">
        <f aca="false">H21-H23-H24-H25</f>
        <v>17.3796104902136</v>
      </c>
      <c r="I26" s="30" t="n">
        <f aca="false">I21-I23-I24-I25</f>
        <v>18.9236294553346</v>
      </c>
      <c r="J26" s="30" t="n">
        <f aca="false">J21-J23-J24-J25</f>
        <v>20.5400191641015</v>
      </c>
      <c r="K26" s="30" t="n">
        <f aca="false">K21-K23-K24-K25</f>
        <v>22.2316435320015</v>
      </c>
      <c r="L26" s="30" t="n">
        <f aca="false">L21-L23-L24-L25</f>
        <v>24.0014714900094</v>
      </c>
      <c r="M26" s="30" t="n">
        <f aca="false">M21-M23-M24-M25</f>
        <v>25.8525806763295</v>
      </c>
      <c r="N26" s="30" t="n">
        <f aca="false">N21-N23-N24-N25</f>
        <v>27.7881612545431</v>
      </c>
    </row>
    <row r="27" customFormat="false" ht="15" hidden="false" customHeight="false" outlineLevel="0" collapsed="false">
      <c r="B27" s="9" t="s">
        <v>82</v>
      </c>
      <c r="E27" s="28" t="n">
        <f aca="false">Inputs!$C$6*Inputs!$C$28*(1+Inputs!$C$29)^(E$10-1)/1000000</f>
        <v>1.02</v>
      </c>
      <c r="F27" s="28" t="n">
        <f aca="false">Inputs!$C$6*Inputs!$C$28*(1+Inputs!$C$29)^(F$10-1)/1000000</f>
        <v>1.0506</v>
      </c>
      <c r="G27" s="28" t="n">
        <f aca="false">Inputs!$C$6*Inputs!$C$28*(1+Inputs!$C$29)^(G$10-1)/1000000</f>
        <v>1.082118</v>
      </c>
      <c r="H27" s="28" t="n">
        <f aca="false">Inputs!$C$6*Inputs!$C$28*(1+Inputs!$C$29)^(H$10-1)/1000000</f>
        <v>1.11458154</v>
      </c>
      <c r="I27" s="28" t="n">
        <f aca="false">Inputs!$C$6*Inputs!$C$28*(1+Inputs!$C$29)^(I$10-1)/1000000</f>
        <v>1.1480189862</v>
      </c>
      <c r="J27" s="28" t="n">
        <f aca="false">Inputs!$C$6*Inputs!$C$28*(1+Inputs!$C$29)^(J$10-1)/1000000</f>
        <v>1.182459555786</v>
      </c>
      <c r="K27" s="28" t="n">
        <f aca="false">Inputs!$C$6*Inputs!$C$28*(1+Inputs!$C$29)^(K$10-1)/1000000</f>
        <v>1.21793334245958</v>
      </c>
      <c r="L27" s="28" t="n">
        <f aca="false">Inputs!$C$6*Inputs!$C$28*(1+Inputs!$C$29)^(L$10-1)/1000000</f>
        <v>1.25447134273337</v>
      </c>
      <c r="M27" s="28" t="n">
        <f aca="false">Inputs!$C$6*Inputs!$C$28*(1+Inputs!$C$29)^(M$10-1)/1000000</f>
        <v>1.29210548301537</v>
      </c>
      <c r="N27" s="28" t="n">
        <f aca="false">Inputs!$C$6*Inputs!$C$28*(1+Inputs!$C$29)^(N$10-1)/1000000</f>
        <v>1.33086864750583</v>
      </c>
    </row>
    <row r="28" customFormat="false" ht="15" hidden="false" customHeight="false" outlineLevel="0" collapsed="false">
      <c r="B28" s="9" t="s">
        <v>83</v>
      </c>
      <c r="E28" s="28" t="n">
        <f aca="false">E11*Inputs!$C$30*(1+Inputs!$C$29)^(E$10-1)/1000000</f>
        <v>0.3825</v>
      </c>
      <c r="F28" s="28" t="n">
        <f aca="false">F11*Inputs!$C$30*(1+Inputs!$C$29)^(F$10-1)/1000000</f>
        <v>0.393975</v>
      </c>
      <c r="G28" s="28" t="n">
        <f aca="false">G11*Inputs!$C$30*(1+Inputs!$C$29)^(G$10-1)/1000000</f>
        <v>0.40579425</v>
      </c>
      <c r="H28" s="28" t="n">
        <f aca="false">H11*Inputs!$C$30*(1+Inputs!$C$29)^(H$10-1)/1000000</f>
        <v>0.4179680775</v>
      </c>
      <c r="I28" s="28" t="n">
        <f aca="false">I11*Inputs!$C$30*(1+Inputs!$C$29)^(I$10-1)/1000000</f>
        <v>0.430507119825</v>
      </c>
      <c r="J28" s="28" t="n">
        <f aca="false">J11*Inputs!$C$30*(1+Inputs!$C$29)^(J$10-1)/1000000</f>
        <v>0.44342233341975</v>
      </c>
      <c r="K28" s="28" t="n">
        <f aca="false">K11*Inputs!$C$30*(1+Inputs!$C$29)^(K$10-1)/1000000</f>
        <v>0.456725003422343</v>
      </c>
      <c r="L28" s="28" t="n">
        <f aca="false">L11*Inputs!$C$30*(1+Inputs!$C$29)^(L$10-1)/1000000</f>
        <v>0.470426753525013</v>
      </c>
      <c r="M28" s="28" t="n">
        <f aca="false">M11*Inputs!$C$30*(1+Inputs!$C$29)^(M$10-1)/1000000</f>
        <v>0.484539556130763</v>
      </c>
      <c r="N28" s="28" t="n">
        <f aca="false">N11*Inputs!$C$30*(1+Inputs!$C$29)^(N$10-1)/1000000</f>
        <v>0.499075742814686</v>
      </c>
    </row>
    <row r="29" customFormat="false" ht="15" hidden="false" customHeight="false" outlineLevel="0" collapsed="false">
      <c r="B29" s="9" t="s">
        <v>84</v>
      </c>
      <c r="E29" s="28" t="n">
        <f aca="false">(D17-E17)*E22*Inputs!$C$23/1000000</f>
        <v>8.832</v>
      </c>
      <c r="F29" s="28" t="n">
        <f aca="false">(E17-F17)*F22*Inputs!$C$23/1000000</f>
        <v>9.09696</v>
      </c>
      <c r="G29" s="28" t="n">
        <f aca="false">(F17-G17)*G22*Inputs!$C$23/1000000</f>
        <v>9.3698688</v>
      </c>
      <c r="H29" s="28" t="n">
        <f aca="false">(G17-H17)*H22*Inputs!$C$23/1000000</f>
        <v>9.650964864</v>
      </c>
      <c r="I29" s="28" t="n">
        <f aca="false">(H17-I17)*I22*Inputs!$C$23/1000000</f>
        <v>9.94049380992</v>
      </c>
      <c r="J29" s="28" t="n">
        <f aca="false">(I17-J17)*J22*Inputs!$C$23/1000000</f>
        <v>10.2387086242176</v>
      </c>
      <c r="K29" s="28" t="n">
        <f aca="false">(J17-K17)*K22*Inputs!$C$23/1000000</f>
        <v>10.5458698829441</v>
      </c>
      <c r="L29" s="28" t="n">
        <f aca="false">(K17-L17)*L22*Inputs!$C$23/1000000</f>
        <v>10.8622459794325</v>
      </c>
      <c r="M29" s="28" t="n">
        <f aca="false">(L17-M17)*M22*Inputs!$C$23/1000000</f>
        <v>11.1881133588154</v>
      </c>
      <c r="N29" s="28" t="n">
        <f aca="false">(M17-N17)*N22*Inputs!$C$23/1000000</f>
        <v>11.5237567595799</v>
      </c>
    </row>
    <row r="30" customFormat="false" ht="15" hidden="false" customHeight="false" outlineLevel="0" collapsed="false">
      <c r="B30" s="29" t="s">
        <v>85</v>
      </c>
      <c r="E30" s="30" t="n">
        <f aca="false">E26-E27-E28-E29</f>
        <v>2.92014</v>
      </c>
      <c r="F30" s="30" t="n">
        <f aca="false">F26-F27-F28-F29</f>
        <v>3.956197908</v>
      </c>
      <c r="G30" s="30" t="n">
        <f aca="false">G26-G27-G28-G29</f>
        <v>5.0474187492876</v>
      </c>
      <c r="H30" s="30" t="n">
        <f aca="false">H26-H27-H28-H29</f>
        <v>6.19609600871356</v>
      </c>
      <c r="I30" s="30" t="n">
        <f aca="false">I26-I27-I28-I29</f>
        <v>7.40460953938962</v>
      </c>
      <c r="J30" s="30" t="n">
        <f aca="false">J26-J27-J28-J29</f>
        <v>8.67542865067816</v>
      </c>
      <c r="K30" s="30" t="n">
        <f aca="false">K26-K27-K28-K29</f>
        <v>10.0111153031754</v>
      </c>
      <c r="L30" s="30" t="n">
        <f aca="false">L26-L27-L28-L29</f>
        <v>11.4143274143185</v>
      </c>
      <c r="M30" s="30" t="n">
        <f aca="false">M26-M27-M28-M29</f>
        <v>12.8878222783679</v>
      </c>
      <c r="N30" s="30" t="n">
        <f aca="false">N26-N27-N28-N29</f>
        <v>14.4344601046427</v>
      </c>
    </row>
    <row r="31" customFormat="false" ht="15" hidden="false" customHeight="false" outlineLevel="0" collapsed="false">
      <c r="B31" s="9" t="s">
        <v>86</v>
      </c>
      <c r="C31" s="28" t="n">
        <f aca="false">Inputs!$C$33*(1+Inputs!$C$34)</f>
        <v>287.64</v>
      </c>
    </row>
    <row r="32" customFormat="false" ht="15" hidden="false" customHeight="false" outlineLevel="0" collapsed="false">
      <c r="B32" s="29" t="s">
        <v>87</v>
      </c>
      <c r="C32" s="30" t="n">
        <f aca="false">N26*$C$9*(1-Inputs!$C$36)</f>
        <v>574.798115550225</v>
      </c>
    </row>
    <row r="33" customFormat="false" ht="15" hidden="false" customHeight="false" outlineLevel="0" collapsed="false">
      <c r="B33" s="9" t="s">
        <v>88</v>
      </c>
      <c r="C33" s="28" t="n">
        <f aca="false">Inputs!$C$37*E26</f>
        <v>92.08248</v>
      </c>
    </row>
    <row r="34" customFormat="false" ht="15" hidden="false" customHeight="false" outlineLevel="0" collapsed="false">
      <c r="B34" s="9" t="s">
        <v>89</v>
      </c>
      <c r="C34" s="28" t="n">
        <f aca="false">Inputs!$C$40*INDEX(E26:N26,Inputs!$C$39)</f>
        <v>155.62150472401</v>
      </c>
    </row>
    <row r="35" customFormat="false" ht="15" hidden="false" customHeight="false" outlineLevel="0" collapsed="false">
      <c r="B35" s="29" t="s">
        <v>90</v>
      </c>
      <c r="D35" s="30" t="n">
        <f aca="false">-$C$31</f>
        <v>-287.64</v>
      </c>
      <c r="E35" s="30" t="n">
        <f aca="false">E30</f>
        <v>2.92014</v>
      </c>
      <c r="F35" s="30" t="n">
        <f aca="false">F30</f>
        <v>3.956197908</v>
      </c>
      <c r="G35" s="30" t="n">
        <f aca="false">G30</f>
        <v>5.0474187492876</v>
      </c>
      <c r="H35" s="30" t="n">
        <f aca="false">H30</f>
        <v>6.19609600871356</v>
      </c>
      <c r="I35" s="30" t="n">
        <f aca="false">I30</f>
        <v>7.40460953938962</v>
      </c>
      <c r="J35" s="30" t="n">
        <f aca="false">J30</f>
        <v>8.67542865067816</v>
      </c>
      <c r="K35" s="30" t="n">
        <f aca="false">K30</f>
        <v>10.0111153031754</v>
      </c>
      <c r="L35" s="30" t="n">
        <f aca="false">L30</f>
        <v>11.4143274143185</v>
      </c>
      <c r="M35" s="30" t="n">
        <f aca="false">M30</f>
        <v>12.8878222783679</v>
      </c>
      <c r="N35" s="30" t="n">
        <f aca="false">N30+$C$32</f>
        <v>589.232575654868</v>
      </c>
    </row>
    <row r="37" customFormat="false" ht="15" hidden="false" customHeight="false" outlineLevel="0" collapsed="false">
      <c r="B37" s="23" t="s">
        <v>91</v>
      </c>
      <c r="C37" s="24"/>
      <c r="D37" s="24" t="n">
        <v>0</v>
      </c>
      <c r="E37" s="24" t="n">
        <v>1</v>
      </c>
      <c r="F37" s="24" t="n">
        <v>2</v>
      </c>
      <c r="G37" s="24" t="n">
        <v>3</v>
      </c>
      <c r="H37" s="24" t="n">
        <v>4</v>
      </c>
      <c r="I37" s="24" t="n">
        <v>5</v>
      </c>
      <c r="J37" s="24" t="n">
        <v>6</v>
      </c>
      <c r="K37" s="24" t="n">
        <v>7</v>
      </c>
      <c r="L37" s="24" t="n">
        <v>8</v>
      </c>
      <c r="M37" s="24" t="n">
        <v>9</v>
      </c>
      <c r="N37" s="24" t="n">
        <v>10</v>
      </c>
    </row>
    <row r="38" customFormat="false" ht="15" hidden="false" customHeight="false" outlineLevel="0" collapsed="false">
      <c r="B38" s="9" t="s">
        <v>92</v>
      </c>
      <c r="E38" s="28" t="n">
        <f aca="false">IF(E$37&lt;Inputs!$C$39,$C$33,$C$34)</f>
        <v>92.08248</v>
      </c>
      <c r="F38" s="28" t="n">
        <f aca="false">IF(F$37&lt;Inputs!$C$39,$C$33,$C$34)</f>
        <v>92.08248</v>
      </c>
      <c r="G38" s="28" t="n">
        <f aca="false">IF(G$37&lt;Inputs!$C$39,$C$33,$C$34)</f>
        <v>92.08248</v>
      </c>
      <c r="H38" s="28" t="n">
        <f aca="false">IF(H$37&lt;Inputs!$C$39,$C$33,$C$34)</f>
        <v>92.08248</v>
      </c>
      <c r="I38" s="28" t="n">
        <f aca="false">IF(I$37&lt;Inputs!$C$39,$C$33,$C$34)</f>
        <v>92.08248</v>
      </c>
      <c r="J38" s="28" t="n">
        <f aca="false">IF(J$37&lt;Inputs!$C$39,$C$33,$C$34)</f>
        <v>92.08248</v>
      </c>
      <c r="K38" s="28" t="n">
        <f aca="false">IF(K$37&lt;Inputs!$C$39,$C$33,$C$34)</f>
        <v>155.62150472401</v>
      </c>
      <c r="L38" s="28" t="n">
        <f aca="false">IF(L$37&lt;Inputs!$C$39,$C$33,$C$34)</f>
        <v>155.62150472401</v>
      </c>
      <c r="M38" s="28" t="n">
        <f aca="false">IF(M$37&lt;Inputs!$C$39,$C$33,$C$34)</f>
        <v>155.62150472401</v>
      </c>
      <c r="N38" s="28" t="n">
        <f aca="false">IF(N$37&lt;Inputs!$C$39,$C$33,$C$34)</f>
        <v>155.62150472401</v>
      </c>
    </row>
    <row r="39" customFormat="false" ht="15" hidden="false" customHeight="false" outlineLevel="0" collapsed="false">
      <c r="B39" s="9" t="s">
        <v>93</v>
      </c>
      <c r="E39" s="28" t="n">
        <f aca="false">IF(E$37&lt;=Inputs!$C$39,$C$33*Inputs!$C$38,$C$34*Inputs!$C$41)</f>
        <v>5.755155</v>
      </c>
      <c r="F39" s="28" t="n">
        <f aca="false">IF(F$37&lt;=Inputs!$C$39,$C$33*Inputs!$C$38,$C$34*Inputs!$C$41)</f>
        <v>5.755155</v>
      </c>
      <c r="G39" s="28" t="n">
        <f aca="false">IF(G$37&lt;=Inputs!$C$39,$C$33*Inputs!$C$38,$C$34*Inputs!$C$41)</f>
        <v>5.755155</v>
      </c>
      <c r="H39" s="28" t="n">
        <f aca="false">IF(H$37&lt;=Inputs!$C$39,$C$33*Inputs!$C$38,$C$34*Inputs!$C$41)</f>
        <v>5.755155</v>
      </c>
      <c r="I39" s="28" t="n">
        <f aca="false">IF(I$37&lt;=Inputs!$C$39,$C$33*Inputs!$C$38,$C$34*Inputs!$C$41)</f>
        <v>5.755155</v>
      </c>
      <c r="J39" s="28" t="n">
        <f aca="false">IF(J$37&lt;=Inputs!$C$39,$C$33*Inputs!$C$38,$C$34*Inputs!$C$41)</f>
        <v>5.755155</v>
      </c>
      <c r="K39" s="28" t="n">
        <f aca="false">IF(K$37&lt;=Inputs!$C$39,$C$33*Inputs!$C$38,$C$34*Inputs!$C$41)</f>
        <v>5.755155</v>
      </c>
      <c r="L39" s="28" t="n">
        <f aca="false">IF(L$37&lt;=Inputs!$C$39,$C$33*Inputs!$C$38,$C$34*Inputs!$C$41)</f>
        <v>10.1153978070607</v>
      </c>
      <c r="M39" s="28" t="n">
        <f aca="false">IF(M$37&lt;=Inputs!$C$39,$C$33*Inputs!$C$38,$C$34*Inputs!$C$41)</f>
        <v>10.1153978070607</v>
      </c>
      <c r="N39" s="28" t="n">
        <f aca="false">IF(N$37&lt;=Inputs!$C$39,$C$33*Inputs!$C$38,$C$34*Inputs!$C$41)</f>
        <v>10.1153978070607</v>
      </c>
    </row>
    <row r="40" customFormat="false" ht="15" hidden="false" customHeight="false" outlineLevel="0" collapsed="false">
      <c r="B40" s="9" t="s">
        <v>94</v>
      </c>
      <c r="E40" s="26" t="n">
        <f aca="false">E38/E26</f>
        <v>7</v>
      </c>
      <c r="F40" s="26" t="n">
        <f aca="false">F38/F26</f>
        <v>6.35150892793645</v>
      </c>
      <c r="G40" s="26" t="n">
        <f aca="false">G38/G26</f>
        <v>5.78945760895908</v>
      </c>
      <c r="H40" s="26" t="n">
        <f aca="false">H38/H26</f>
        <v>5.29830516350476</v>
      </c>
      <c r="I40" s="26" t="n">
        <f aca="false">I38/I26</f>
        <v>4.8660052352717</v>
      </c>
      <c r="J40" s="26" t="n">
        <f aca="false">J38/J26</f>
        <v>4.48307663514432</v>
      </c>
      <c r="K40" s="26" t="n">
        <f aca="false">K38/K26</f>
        <v>7</v>
      </c>
      <c r="L40" s="26" t="n">
        <f aca="false">L38/L26</f>
        <v>6.48383182626066</v>
      </c>
      <c r="M40" s="26" t="n">
        <f aca="false">M38/M26</f>
        <v>6.01957331348731</v>
      </c>
      <c r="N40" s="26" t="n">
        <f aca="false">N38/N26</f>
        <v>5.60028075620036</v>
      </c>
    </row>
    <row r="41" customFormat="false" ht="15" hidden="false" customHeight="false" outlineLevel="0" collapsed="false">
      <c r="B41" s="9" t="s">
        <v>95</v>
      </c>
      <c r="E41" s="26" t="n">
        <f aca="false">E26/E39</f>
        <v>2.28571428571429</v>
      </c>
      <c r="F41" s="26" t="n">
        <f aca="false">F26/F39</f>
        <v>2.51908643781097</v>
      </c>
      <c r="G41" s="26" t="n">
        <f aca="false">G26/G39</f>
        <v>2.7636440372653</v>
      </c>
      <c r="H41" s="26" t="n">
        <f aca="false">H26/H39</f>
        <v>3.01983360834131</v>
      </c>
      <c r="I41" s="26" t="n">
        <f aca="false">I26/I39</f>
        <v>3.28811812285414</v>
      </c>
      <c r="J41" s="26" t="n">
        <f aca="false">J26/J39</f>
        <v>3.56897757994381</v>
      </c>
      <c r="K41" s="26" t="n">
        <f aca="false">K26/K39</f>
        <v>3.86290960573633</v>
      </c>
      <c r="L41" s="26" t="n">
        <f aca="false">L26/L39</f>
        <v>2.37276595026802</v>
      </c>
      <c r="M41" s="26" t="n">
        <f aca="false">M26/M39</f>
        <v>2.55576509885593</v>
      </c>
      <c r="N41" s="26" t="n">
        <f aca="false">N26/N39</f>
        <v>2.7471150205429</v>
      </c>
    </row>
    <row r="42" customFormat="false" ht="15" hidden="false" customHeight="false" outlineLevel="0" collapsed="false">
      <c r="B42" s="9" t="s">
        <v>96</v>
      </c>
      <c r="D42" s="28" t="n">
        <f aca="false">$C$33*(1-Inputs!$C$42)</f>
        <v>91.1616552</v>
      </c>
      <c r="E42" s="28" t="n">
        <f aca="false">-E39+IF(E$37=Inputs!$C$39,$C$34*(1-Inputs!$C$42)-$C$33,0)</f>
        <v>-5.755155</v>
      </c>
      <c r="F42" s="28" t="n">
        <f aca="false">-F39+IF(F$37=Inputs!$C$39,$C$34*(1-Inputs!$C$42)-$C$33,0)</f>
        <v>-5.755155</v>
      </c>
      <c r="G42" s="28" t="n">
        <f aca="false">-G39+IF(G$37=Inputs!$C$39,$C$34*(1-Inputs!$C$42)-$C$33,0)</f>
        <v>-5.755155</v>
      </c>
      <c r="H42" s="28" t="n">
        <f aca="false">-H39+IF(H$37=Inputs!$C$39,$C$34*(1-Inputs!$C$42)-$C$33,0)</f>
        <v>-5.755155</v>
      </c>
      <c r="I42" s="28" t="n">
        <f aca="false">-I39+IF(I$37=Inputs!$C$39,$C$34*(1-Inputs!$C$42)-$C$33,0)</f>
        <v>-5.755155</v>
      </c>
      <c r="J42" s="28" t="n">
        <f aca="false">-J39+IF(J$37=Inputs!$C$39,$C$34*(1-Inputs!$C$42)-$C$33,0)</f>
        <v>-5.755155</v>
      </c>
      <c r="K42" s="28" t="n">
        <f aca="false">-K39+IF(K$37=Inputs!$C$39,$C$34*(1-Inputs!$C$42)-$C$33,0)</f>
        <v>56.2276546767703</v>
      </c>
      <c r="L42" s="28" t="n">
        <f aca="false">-L39+IF(L$37=Inputs!$C$39,$C$34*(1-Inputs!$C$42)-$C$33,0)</f>
        <v>-10.1153978070607</v>
      </c>
      <c r="M42" s="28" t="n">
        <f aca="false">-M39+IF(M$37=Inputs!$C$39,$C$34*(1-Inputs!$C$42)-$C$33,0)</f>
        <v>-10.1153978070607</v>
      </c>
      <c r="N42" s="28" t="n">
        <f aca="false">-N39+IF(N$37=Inputs!$C$39,$C$34*(1-Inputs!$C$42)-$C$33,0)-$C$34</f>
        <v>-165.736902531071</v>
      </c>
    </row>
    <row r="43" customFormat="false" ht="15" hidden="false" customHeight="false" outlineLevel="0" collapsed="false">
      <c r="B43" s="29" t="s">
        <v>97</v>
      </c>
      <c r="D43" s="30" t="n">
        <f aca="false">D35+D42</f>
        <v>-196.4783448</v>
      </c>
      <c r="E43" s="30" t="n">
        <f aca="false">E35+E42</f>
        <v>-2.835015</v>
      </c>
      <c r="F43" s="30" t="n">
        <f aca="false">F35+F42</f>
        <v>-1.798957092</v>
      </c>
      <c r="G43" s="30" t="n">
        <f aca="false">G35+G42</f>
        <v>-0.707736250712403</v>
      </c>
      <c r="H43" s="30" t="n">
        <f aca="false">H35+H42</f>
        <v>0.440941008713558</v>
      </c>
      <c r="I43" s="30" t="n">
        <f aca="false">I35+I42</f>
        <v>1.64945453938962</v>
      </c>
      <c r="J43" s="30" t="n">
        <f aca="false">J35+J42</f>
        <v>2.92027365067816</v>
      </c>
      <c r="K43" s="30" t="n">
        <f aca="false">K35+K42</f>
        <v>66.2387699799457</v>
      </c>
      <c r="L43" s="30" t="n">
        <f aca="false">L35+L42</f>
        <v>1.29892960725784</v>
      </c>
      <c r="M43" s="30" t="n">
        <f aca="false">M35+M42</f>
        <v>2.77242447130721</v>
      </c>
      <c r="N43" s="30" t="n">
        <f aca="false">N35+N42</f>
        <v>423.495673123797</v>
      </c>
    </row>
    <row r="44" customFormat="false" ht="15" hidden="false" customHeight="false" outlineLevel="0" collapsed="false">
      <c r="B44" s="9" t="s">
        <v>98</v>
      </c>
      <c r="C44" s="28" t="n">
        <f aca="false">-D43</f>
        <v>196.4783448</v>
      </c>
    </row>
    <row r="45" customFormat="false" ht="15" hidden="false" customHeight="false" outlineLevel="0" collapsed="false">
      <c r="B45" s="9" t="s">
        <v>99</v>
      </c>
      <c r="C45" s="31" t="n">
        <f aca="false">IRR(D35:N35,0.08)</f>
        <v>0.0910788771039385</v>
      </c>
    </row>
    <row r="46" customFormat="false" ht="15" hidden="false" customHeight="false" outlineLevel="0" collapsed="false">
      <c r="B46" s="29" t="s">
        <v>100</v>
      </c>
      <c r="C46" s="32" t="n">
        <f aca="false">IRR(D43:N43,0.08)</f>
        <v>0.100551860861986</v>
      </c>
    </row>
    <row r="47" customFormat="false" ht="15" hidden="false" customHeight="false" outlineLevel="0" collapsed="false">
      <c r="B47" s="9" t="s">
        <v>101</v>
      </c>
      <c r="C47" s="22" t="n">
        <f aca="false">SUMIF(D43:N43,"&gt;0")/-SUMIF(D43:N43,"&lt;0")</f>
        <v>2.47159020431117</v>
      </c>
    </row>
    <row r="48" customFormat="false" ht="15" hidden="false" customHeight="false" outlineLevel="0" collapsed="false">
      <c r="B48" s="9" t="s">
        <v>102</v>
      </c>
      <c r="C48" s="33" t="n">
        <f aca="false">Inputs!$C$33/E26</f>
        <v>21.4373027312036</v>
      </c>
    </row>
    <row r="50" customFormat="false" ht="15" hidden="false" customHeight="false" outlineLevel="0" collapsed="false">
      <c r="B50" s="7" t="s">
        <v>103</v>
      </c>
      <c r="C50" s="8"/>
      <c r="D50" s="8"/>
    </row>
    <row r="51" customFormat="false" ht="15" hidden="false" customHeight="false" outlineLevel="0" collapsed="false">
      <c r="B51" s="9" t="s">
        <v>104</v>
      </c>
      <c r="C51" s="26" t="n">
        <f aca="false">D16</f>
        <v>1.44941176470588</v>
      </c>
    </row>
    <row r="52" customFormat="false" ht="15" hidden="false" customHeight="false" outlineLevel="0" collapsed="false">
      <c r="B52" s="9" t="s">
        <v>105</v>
      </c>
      <c r="C52" s="34" t="n">
        <f aca="false">Inputs!$C$20/Inputs!$C$8</f>
        <v>0.560975609756098</v>
      </c>
    </row>
    <row r="53" customFormat="false" ht="15" hidden="false" customHeight="false" outlineLevel="0" collapsed="false">
      <c r="B53" s="9" t="s">
        <v>106</v>
      </c>
      <c r="C53" s="34" t="n">
        <f aca="false">$C$52*((1+Inputs!$C$21)/(1+Inputs!$C$9))^9</f>
        <v>0.586089867347646</v>
      </c>
    </row>
    <row r="54" customFormat="false" ht="15" hidden="false" customHeight="false" outlineLevel="0" collapsed="false">
      <c r="B54" s="9" t="s">
        <v>107</v>
      </c>
      <c r="C54" s="26" t="n">
        <f aca="false">MAX($E$40:$N$40)</f>
        <v>7</v>
      </c>
    </row>
    <row r="55" customFormat="false" ht="15" hidden="false" customHeight="false" outlineLevel="0" collapsed="false">
      <c r="B55" s="9" t="s">
        <v>108</v>
      </c>
      <c r="C55" s="26" t="n">
        <f aca="false">MIN($E$41:$N$41)</f>
        <v>2.28571428571429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2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109</v>
      </c>
    </row>
    <row r="3" customFormat="false" ht="15" hidden="false" customHeight="false" outlineLevel="0" collapsed="false">
      <c r="B3" s="6" t="s">
        <v>110</v>
      </c>
    </row>
    <row r="5" customFormat="false" ht="15" hidden="false" customHeight="false" outlineLevel="0" collapsed="false">
      <c r="B5" s="7" t="s">
        <v>111</v>
      </c>
      <c r="C5" s="8"/>
      <c r="D5" s="8"/>
      <c r="E5" s="8"/>
      <c r="F5" s="8"/>
      <c r="G5" s="8"/>
      <c r="H5" s="8"/>
      <c r="I5" s="8"/>
      <c r="J5" s="8"/>
      <c r="K5" s="8"/>
      <c r="L5" s="8"/>
      <c r="M5" s="8"/>
      <c r="N5" s="8"/>
    </row>
    <row r="6" customFormat="false" ht="15" hidden="false" customHeight="false" outlineLevel="0" collapsed="false">
      <c r="B6" s="9" t="s">
        <v>23</v>
      </c>
      <c r="C6" s="13" t="n">
        <v>0</v>
      </c>
    </row>
    <row r="7" customFormat="false" ht="15" hidden="false" customHeight="false" outlineLevel="0" collapsed="false">
      <c r="B7" s="9" t="s">
        <v>34</v>
      </c>
      <c r="C7" s="21" t="n">
        <f aca="false">Inputs!$C$22</f>
        <v>40</v>
      </c>
    </row>
    <row r="8" customFormat="false" ht="15" hidden="false" customHeight="false" outlineLevel="0" collapsed="false">
      <c r="B8" s="9" t="s">
        <v>63</v>
      </c>
      <c r="C8" s="21" t="n">
        <f aca="false">Inputs!$C$15</f>
        <v>0</v>
      </c>
    </row>
    <row r="9" customFormat="false" ht="15" hidden="false" customHeight="false" outlineLevel="0" collapsed="false">
      <c r="B9" s="9" t="s">
        <v>64</v>
      </c>
      <c r="C9" s="22" t="n">
        <f aca="false">Inputs!$C$35</f>
        <v>21</v>
      </c>
    </row>
    <row r="10" customFormat="false" ht="15" hidden="false" customHeight="false" outlineLevel="0" collapsed="false">
      <c r="B10" s="23" t="s">
        <v>65</v>
      </c>
      <c r="C10" s="24"/>
      <c r="D10" s="24" t="n">
        <v>0</v>
      </c>
      <c r="E10" s="24" t="n">
        <v>1</v>
      </c>
      <c r="F10" s="24" t="n">
        <v>2</v>
      </c>
      <c r="G10" s="24" t="n">
        <v>3</v>
      </c>
      <c r="H10" s="24" t="n">
        <v>4</v>
      </c>
      <c r="I10" s="24" t="n">
        <v>5</v>
      </c>
      <c r="J10" s="24" t="n">
        <v>6</v>
      </c>
      <c r="K10" s="24" t="n">
        <v>7</v>
      </c>
      <c r="L10" s="24" t="n">
        <v>8</v>
      </c>
      <c r="M10" s="24" t="n">
        <v>9</v>
      </c>
      <c r="N10" s="24" t="n">
        <v>10</v>
      </c>
    </row>
    <row r="11" customFormat="false" ht="15" hidden="false" customHeight="false" outlineLevel="0" collapsed="false">
      <c r="B11" s="9" t="s">
        <v>66</v>
      </c>
      <c r="E11" s="25" t="n">
        <f aca="false">Inputs!$C$6*$C$6</f>
        <v>0</v>
      </c>
      <c r="F11" s="25" t="n">
        <f aca="false">Inputs!$C$6*$C$6</f>
        <v>0</v>
      </c>
      <c r="G11" s="25" t="n">
        <f aca="false">Inputs!$C$6*$C$6</f>
        <v>0</v>
      </c>
      <c r="H11" s="25" t="n">
        <f aca="false">Inputs!$C$6*$C$6</f>
        <v>0</v>
      </c>
      <c r="I11" s="25" t="n">
        <f aca="false">Inputs!$C$6*$C$6</f>
        <v>0</v>
      </c>
      <c r="J11" s="25" t="n">
        <f aca="false">Inputs!$C$6*$C$6</f>
        <v>0</v>
      </c>
      <c r="K11" s="25" t="n">
        <f aca="false">Inputs!$C$6*$C$6</f>
        <v>0</v>
      </c>
      <c r="L11" s="25" t="n">
        <f aca="false">Inputs!$C$6*$C$6</f>
        <v>0</v>
      </c>
      <c r="M11" s="25" t="n">
        <f aca="false">Inputs!$C$6*$C$6</f>
        <v>0</v>
      </c>
      <c r="N11" s="25" t="n">
        <f aca="false">Inputs!$C$6*$C$6</f>
        <v>0</v>
      </c>
    </row>
    <row r="12" customFormat="false" ht="15" hidden="false" customHeight="false" outlineLevel="0" collapsed="false">
      <c r="B12" s="9" t="s">
        <v>67</v>
      </c>
      <c r="E12" s="26" t="n">
        <f aca="false">D14*Inputs!$C$13</f>
        <v>3.82</v>
      </c>
      <c r="F12" s="26" t="n">
        <f aca="false">E14*Inputs!$C$13</f>
        <v>3.7818</v>
      </c>
      <c r="G12" s="26" t="n">
        <f aca="false">F14*Inputs!$C$13</f>
        <v>3.743982</v>
      </c>
      <c r="H12" s="26" t="n">
        <f aca="false">G14*Inputs!$C$13</f>
        <v>3.70654218</v>
      </c>
      <c r="I12" s="26" t="n">
        <f aca="false">H14*Inputs!$C$13</f>
        <v>3.6694767582</v>
      </c>
      <c r="J12" s="26" t="n">
        <f aca="false">I14*Inputs!$C$13</f>
        <v>3.632781990618</v>
      </c>
      <c r="K12" s="26" t="n">
        <f aca="false">J14*Inputs!$C$13</f>
        <v>3.59645417071182</v>
      </c>
      <c r="L12" s="26" t="n">
        <f aca="false">K14*Inputs!$C$13</f>
        <v>3.5604896290047</v>
      </c>
      <c r="M12" s="26" t="n">
        <f aca="false">L14*Inputs!$C$13</f>
        <v>3.52488473271466</v>
      </c>
      <c r="N12" s="26" t="n">
        <f aca="false">M14*Inputs!$C$13</f>
        <v>3.48963588538751</v>
      </c>
    </row>
    <row r="13" customFormat="false" ht="15" hidden="false" customHeight="false" outlineLevel="0" collapsed="false">
      <c r="B13" s="9" t="s">
        <v>68</v>
      </c>
      <c r="E13" s="25" t="n">
        <f aca="false">IF(AND($C$8&gt;0,OR(E$10=Inputs!$C$14,E$10=Inputs!$C$14+1)),$C$8/2,0)</f>
        <v>0</v>
      </c>
      <c r="F13" s="25" t="n">
        <f aca="false">IF(AND($C$8&gt;0,OR(F$10=Inputs!$C$14,F$10=Inputs!$C$14+1)),$C$8/2,0)</f>
        <v>0</v>
      </c>
      <c r="G13" s="25" t="n">
        <f aca="false">IF(AND($C$8&gt;0,OR(G$10=Inputs!$C$14,G$10=Inputs!$C$14+1)),$C$8/2,0)</f>
        <v>0</v>
      </c>
      <c r="H13" s="25" t="n">
        <f aca="false">IF(AND($C$8&gt;0,OR(H$10=Inputs!$C$14,H$10=Inputs!$C$14+1)),$C$8/2,0)</f>
        <v>0</v>
      </c>
      <c r="I13" s="25" t="n">
        <f aca="false">IF(AND($C$8&gt;0,OR(I$10=Inputs!$C$14,I$10=Inputs!$C$14+1)),$C$8/2,0)</f>
        <v>0</v>
      </c>
      <c r="J13" s="25" t="n">
        <f aca="false">IF(AND($C$8&gt;0,OR(J$10=Inputs!$C$14,J$10=Inputs!$C$14+1)),$C$8/2,0)</f>
        <v>0</v>
      </c>
      <c r="K13" s="25" t="n">
        <f aca="false">IF(AND($C$8&gt;0,OR(K$10=Inputs!$C$14,K$10=Inputs!$C$14+1)),$C$8/2,0)</f>
        <v>0</v>
      </c>
      <c r="L13" s="25" t="n">
        <f aca="false">IF(AND($C$8&gt;0,OR(L$10=Inputs!$C$14,L$10=Inputs!$C$14+1)),$C$8/2,0)</f>
        <v>0</v>
      </c>
      <c r="M13" s="25" t="n">
        <f aca="false">IF(AND($C$8&gt;0,OR(M$10=Inputs!$C$14,M$10=Inputs!$C$14+1)),$C$8/2,0)</f>
        <v>0</v>
      </c>
      <c r="N13" s="25" t="n">
        <f aca="false">IF(AND($C$8&gt;0,OR(N$10=Inputs!$C$14,N$10=Inputs!$C$14+1)),$C$8/2,0)</f>
        <v>0</v>
      </c>
    </row>
    <row r="14" customFormat="false" ht="15" hidden="false" customHeight="false" outlineLevel="0" collapsed="false">
      <c r="B14" s="9" t="s">
        <v>69</v>
      </c>
      <c r="D14" s="25" t="n">
        <f aca="false">Inputs!$C$7</f>
        <v>382</v>
      </c>
      <c r="E14" s="25" t="n">
        <f aca="false">D14+E11-E12-E13</f>
        <v>378.18</v>
      </c>
      <c r="F14" s="25" t="n">
        <f aca="false">E14+F11-F12-F13</f>
        <v>374.3982</v>
      </c>
      <c r="G14" s="25" t="n">
        <f aca="false">F14+G11-G12-G13</f>
        <v>370.654218</v>
      </c>
      <c r="H14" s="25" t="n">
        <f aca="false">G14+H11-H12-H13</f>
        <v>366.94767582</v>
      </c>
      <c r="I14" s="25" t="n">
        <f aca="false">H14+I11-I12-I13</f>
        <v>363.2781990618</v>
      </c>
      <c r="J14" s="25" t="n">
        <f aca="false">I14+J11-J12-J13</f>
        <v>359.645417071182</v>
      </c>
      <c r="K14" s="25" t="n">
        <f aca="false">J14+K11-K12-K13</f>
        <v>356.04896290047</v>
      </c>
      <c r="L14" s="25" t="n">
        <f aca="false">K14+L11-L12-L13</f>
        <v>352.488473271466</v>
      </c>
      <c r="M14" s="25" t="n">
        <f aca="false">L14+M11-M12-M13</f>
        <v>348.963588538751</v>
      </c>
      <c r="N14" s="25" t="n">
        <f aca="false">M14+N11-N12-N13</f>
        <v>345.473952653363</v>
      </c>
    </row>
    <row r="15" customFormat="false" ht="15" hidden="false" customHeight="false" outlineLevel="0" collapsed="false">
      <c r="B15" s="9" t="s">
        <v>70</v>
      </c>
      <c r="E15" s="25" t="n">
        <f aca="false">(E14+D14)/2</f>
        <v>380.09</v>
      </c>
      <c r="F15" s="25" t="n">
        <f aca="false">(F14+E14)/2</f>
        <v>376.2891</v>
      </c>
      <c r="G15" s="25" t="n">
        <f aca="false">(G14+F14)/2</f>
        <v>372.526209</v>
      </c>
      <c r="H15" s="25" t="n">
        <f aca="false">(H14+G14)/2</f>
        <v>368.80094691</v>
      </c>
      <c r="I15" s="25" t="n">
        <f aca="false">(I14+H14)/2</f>
        <v>365.1129374409</v>
      </c>
      <c r="J15" s="25" t="n">
        <f aca="false">(J14+I14)/2</f>
        <v>361.461808066491</v>
      </c>
      <c r="K15" s="25" t="n">
        <f aca="false">(K14+J14)/2</f>
        <v>357.847189985826</v>
      </c>
      <c r="L15" s="25" t="n">
        <f aca="false">(L14+K14)/2</f>
        <v>354.268718085968</v>
      </c>
      <c r="M15" s="25" t="n">
        <f aca="false">(M14+L14)/2</f>
        <v>350.726030905108</v>
      </c>
      <c r="N15" s="25" t="n">
        <f aca="false">(N14+M14)/2</f>
        <v>347.218770596057</v>
      </c>
    </row>
    <row r="16" customFormat="false" ht="15" hidden="false" customHeight="false" outlineLevel="0" collapsed="false">
      <c r="B16" s="9" t="s">
        <v>71</v>
      </c>
      <c r="D16" s="26" t="n">
        <f aca="false">(Inputs!$C$6+D14)/Inputs!$C$6</f>
        <v>1.44941176470588</v>
      </c>
      <c r="E16" s="26" t="n">
        <f aca="false">(Inputs!$C$6+E14)/Inputs!$C$6</f>
        <v>1.44491764705882</v>
      </c>
      <c r="F16" s="26" t="n">
        <f aca="false">(Inputs!$C$6+F14)/Inputs!$C$6</f>
        <v>1.44046847058824</v>
      </c>
      <c r="G16" s="26" t="n">
        <f aca="false">(Inputs!$C$6+G14)/Inputs!$C$6</f>
        <v>1.43606378588235</v>
      </c>
      <c r="H16" s="26" t="n">
        <f aca="false">(Inputs!$C$6+H14)/Inputs!$C$6</f>
        <v>1.43170314802353</v>
      </c>
      <c r="I16" s="26" t="n">
        <f aca="false">(Inputs!$C$6+I14)/Inputs!$C$6</f>
        <v>1.42738611654329</v>
      </c>
      <c r="J16" s="26" t="n">
        <f aca="false">(Inputs!$C$6+J14)/Inputs!$C$6</f>
        <v>1.42311225537786</v>
      </c>
      <c r="K16" s="26" t="n">
        <f aca="false">(Inputs!$C$6+K14)/Inputs!$C$6</f>
        <v>1.41888113282408</v>
      </c>
      <c r="L16" s="26" t="n">
        <f aca="false">(Inputs!$C$6+L14)/Inputs!$C$6</f>
        <v>1.41469232149584</v>
      </c>
      <c r="M16" s="26" t="n">
        <f aca="false">(Inputs!$C$6+M14)/Inputs!$C$6</f>
        <v>1.41054539828088</v>
      </c>
      <c r="N16" s="26" t="n">
        <f aca="false">(Inputs!$C$6+N14)/Inputs!$C$6</f>
        <v>1.40643994429807</v>
      </c>
    </row>
    <row r="17" customFormat="false" ht="15" hidden="false" customHeight="false" outlineLevel="0" collapsed="false">
      <c r="B17" s="9" t="s">
        <v>72</v>
      </c>
      <c r="D17" s="27" t="n">
        <f aca="false">ROUND(Inputs!$C$6*Inputs!$C$19,0)</f>
        <v>595</v>
      </c>
      <c r="E17" s="27" t="n">
        <f aca="false">MAX(0,D17-$C$7)</f>
        <v>555</v>
      </c>
      <c r="F17" s="27" t="n">
        <f aca="false">MAX(0,E17-$C$7)</f>
        <v>515</v>
      </c>
      <c r="G17" s="27" t="n">
        <f aca="false">MAX(0,F17-$C$7)</f>
        <v>475</v>
      </c>
      <c r="H17" s="27" t="n">
        <f aca="false">MAX(0,G17-$C$7)</f>
        <v>435</v>
      </c>
      <c r="I17" s="27" t="n">
        <f aca="false">MAX(0,H17-$C$7)</f>
        <v>395</v>
      </c>
      <c r="J17" s="27" t="n">
        <f aca="false">MAX(0,I17-$C$7)</f>
        <v>355</v>
      </c>
      <c r="K17" s="27" t="n">
        <f aca="false">MAX(0,J17-$C$7)</f>
        <v>315</v>
      </c>
      <c r="L17" s="27" t="n">
        <f aca="false">MAX(0,K17-$C$7)</f>
        <v>275</v>
      </c>
      <c r="M17" s="27" t="n">
        <f aca="false">MAX(0,L17-$C$7)</f>
        <v>235</v>
      </c>
      <c r="N17" s="27" t="n">
        <f aca="false">MAX(0,M17-$C$7)</f>
        <v>195</v>
      </c>
    </row>
    <row r="18" customFormat="false" ht="15" hidden="false" customHeight="false" outlineLevel="0" collapsed="false">
      <c r="B18" s="9" t="s">
        <v>73</v>
      </c>
      <c r="E18" s="25" t="n">
        <f aca="false">(E17+D17)/2</f>
        <v>575</v>
      </c>
      <c r="F18" s="25" t="n">
        <f aca="false">(F17+E17)/2</f>
        <v>535</v>
      </c>
      <c r="G18" s="25" t="n">
        <f aca="false">(G17+F17)/2</f>
        <v>495</v>
      </c>
      <c r="H18" s="25" t="n">
        <f aca="false">(H17+G17)/2</f>
        <v>455</v>
      </c>
      <c r="I18" s="25" t="n">
        <f aca="false">(I17+H17)/2</f>
        <v>415</v>
      </c>
      <c r="J18" s="25" t="n">
        <f aca="false">(J17+I17)/2</f>
        <v>375</v>
      </c>
      <c r="K18" s="25" t="n">
        <f aca="false">(K17+J17)/2</f>
        <v>335</v>
      </c>
      <c r="L18" s="25" t="n">
        <f aca="false">(L17+K17)/2</f>
        <v>295</v>
      </c>
      <c r="M18" s="25" t="n">
        <f aca="false">(M17+L17)/2</f>
        <v>255</v>
      </c>
      <c r="N18" s="25" t="n">
        <f aca="false">(N17+M17)/2</f>
        <v>215</v>
      </c>
    </row>
    <row r="19" customFormat="false" ht="15" hidden="false" customHeight="false" outlineLevel="0" collapsed="false">
      <c r="B19" s="9" t="s">
        <v>74</v>
      </c>
      <c r="E19" s="28" t="n">
        <f aca="false">Inputs!$C$6*Inputs!$C$8*12*(1+Inputs!$C$9)^(E$10-1)/1000000</f>
        <v>20.91</v>
      </c>
      <c r="F19" s="28" t="n">
        <f aca="false">Inputs!$C$6*Inputs!$C$8*12*(1+Inputs!$C$9)^(F$10-1)/1000000</f>
        <v>21.43275</v>
      </c>
      <c r="G19" s="28" t="n">
        <f aca="false">Inputs!$C$6*Inputs!$C$8*12*(1+Inputs!$C$9)^(G$10-1)/1000000</f>
        <v>21.96856875</v>
      </c>
      <c r="H19" s="28" t="n">
        <f aca="false">Inputs!$C$6*Inputs!$C$8*12*(1+Inputs!$C$9)^(H$10-1)/1000000</f>
        <v>22.51778296875</v>
      </c>
      <c r="I19" s="28" t="n">
        <f aca="false">Inputs!$C$6*Inputs!$C$8*12*(1+Inputs!$C$9)^(I$10-1)/1000000</f>
        <v>23.0807275429687</v>
      </c>
      <c r="J19" s="28" t="n">
        <f aca="false">Inputs!$C$6*Inputs!$C$8*12*(1+Inputs!$C$9)^(J$10-1)/1000000</f>
        <v>23.657745731543</v>
      </c>
      <c r="K19" s="28" t="n">
        <f aca="false">Inputs!$C$6*Inputs!$C$8*12*(1+Inputs!$C$9)^(K$10-1)/1000000</f>
        <v>24.2491893748315</v>
      </c>
      <c r="L19" s="28" t="n">
        <f aca="false">Inputs!$C$6*Inputs!$C$8*12*(1+Inputs!$C$9)^(L$10-1)/1000000</f>
        <v>24.8554191092023</v>
      </c>
      <c r="M19" s="28" t="n">
        <f aca="false">Inputs!$C$6*Inputs!$C$8*12*(1+Inputs!$C$9)^(M$10-1)/1000000</f>
        <v>25.4768045869324</v>
      </c>
      <c r="N19" s="28" t="n">
        <f aca="false">Inputs!$C$6*Inputs!$C$8*12*(1+Inputs!$C$9)^(N$10-1)/1000000</f>
        <v>26.1137247016057</v>
      </c>
    </row>
    <row r="20" customFormat="false" ht="15" hidden="false" customHeight="false" outlineLevel="0" collapsed="false">
      <c r="B20" s="9" t="s">
        <v>75</v>
      </c>
      <c r="E20" s="28" t="n">
        <f aca="false">E15*Inputs!$C$10*12*(1+Inputs!$C$11)^(E$10-1)/1000000</f>
        <v>7.98189</v>
      </c>
      <c r="F20" s="28" t="n">
        <f aca="false">F15*Inputs!$C$10*12*(1+Inputs!$C$11)^(F$10-1)/1000000</f>
        <v>8.139133233</v>
      </c>
      <c r="G20" s="28" t="n">
        <f aca="false">G15*Inputs!$C$10*12*(1+Inputs!$C$11)^(G$10-1)/1000000</f>
        <v>8.2994741576901</v>
      </c>
      <c r="H20" s="28" t="n">
        <f aca="false">H15*Inputs!$C$10*12*(1+Inputs!$C$11)^(H$10-1)/1000000</f>
        <v>8.4629737985966</v>
      </c>
      <c r="I20" s="28" t="n">
        <f aca="false">I15*Inputs!$C$10*12*(1+Inputs!$C$11)^(I$10-1)/1000000</f>
        <v>8.62969438242895</v>
      </c>
      <c r="J20" s="28" t="n">
        <f aca="false">J15*Inputs!$C$10*12*(1+Inputs!$C$11)^(J$10-1)/1000000</f>
        <v>8.7996993617628</v>
      </c>
      <c r="K20" s="28" t="n">
        <f aca="false">K15*Inputs!$C$10*12*(1+Inputs!$C$11)^(K$10-1)/1000000</f>
        <v>8.97305343918953</v>
      </c>
      <c r="L20" s="28" t="n">
        <f aca="false">L15*Inputs!$C$10*12*(1+Inputs!$C$11)^(L$10-1)/1000000</f>
        <v>9.14982259194156</v>
      </c>
      <c r="M20" s="28" t="n">
        <f aca="false">M15*Inputs!$C$10*12*(1+Inputs!$C$11)^(M$10-1)/1000000</f>
        <v>9.33007409700281</v>
      </c>
      <c r="N20" s="28" t="n">
        <f aca="false">N15*Inputs!$C$10*12*(1+Inputs!$C$11)^(N$10-1)/1000000</f>
        <v>9.51387655671377</v>
      </c>
    </row>
    <row r="21" customFormat="false" ht="15" hidden="false" customHeight="false" outlineLevel="0" collapsed="false">
      <c r="B21" s="9" t="s">
        <v>76</v>
      </c>
      <c r="E21" s="28" t="n">
        <f aca="false">E19+E20</f>
        <v>28.89189</v>
      </c>
      <c r="F21" s="28" t="n">
        <f aca="false">F19+F20</f>
        <v>29.571883233</v>
      </c>
      <c r="G21" s="28" t="n">
        <f aca="false">G19+G20</f>
        <v>30.2680429076901</v>
      </c>
      <c r="H21" s="28" t="n">
        <f aca="false">H19+H20</f>
        <v>30.9807567673466</v>
      </c>
      <c r="I21" s="28" t="n">
        <f aca="false">I19+I20</f>
        <v>31.7104219253977</v>
      </c>
      <c r="J21" s="28" t="n">
        <f aca="false">J19+J20</f>
        <v>32.4574450933058</v>
      </c>
      <c r="K21" s="28" t="n">
        <f aca="false">K19+K20</f>
        <v>33.2222428140211</v>
      </c>
      <c r="L21" s="28" t="n">
        <f aca="false">L19+L20</f>
        <v>34.0052417011439</v>
      </c>
      <c r="M21" s="28" t="n">
        <f aca="false">M19+M20</f>
        <v>34.8068786839352</v>
      </c>
      <c r="N21" s="28" t="n">
        <f aca="false">N19+N20</f>
        <v>35.6276012583194</v>
      </c>
    </row>
    <row r="22" customFormat="false" ht="15" hidden="false" customHeight="false" outlineLevel="0" collapsed="false">
      <c r="B22" s="9" t="s">
        <v>77</v>
      </c>
      <c r="E22" s="28" t="n">
        <f aca="false">Inputs!$C$20*12*(1+Inputs!$C$21)^(E$10-1)</f>
        <v>13800</v>
      </c>
      <c r="F22" s="28" t="n">
        <f aca="false">Inputs!$C$20*12*(1+Inputs!$C$21)^(F$10-1)</f>
        <v>14214</v>
      </c>
      <c r="G22" s="28" t="n">
        <f aca="false">Inputs!$C$20*12*(1+Inputs!$C$21)^(G$10-1)</f>
        <v>14640.42</v>
      </c>
      <c r="H22" s="28" t="n">
        <f aca="false">Inputs!$C$20*12*(1+Inputs!$C$21)^(H$10-1)</f>
        <v>15079.6326</v>
      </c>
      <c r="I22" s="28" t="n">
        <f aca="false">Inputs!$C$20*12*(1+Inputs!$C$21)^(I$10-1)</f>
        <v>15532.021578</v>
      </c>
      <c r="J22" s="28" t="n">
        <f aca="false">Inputs!$C$20*12*(1+Inputs!$C$21)^(J$10-1)</f>
        <v>15997.98222534</v>
      </c>
      <c r="K22" s="28" t="n">
        <f aca="false">Inputs!$C$20*12*(1+Inputs!$C$21)^(K$10-1)</f>
        <v>16477.9216921002</v>
      </c>
      <c r="L22" s="28" t="n">
        <f aca="false">Inputs!$C$20*12*(1+Inputs!$C$21)^(L$10-1)</f>
        <v>16972.2593428632</v>
      </c>
      <c r="M22" s="28" t="n">
        <f aca="false">Inputs!$C$20*12*(1+Inputs!$C$21)^(M$10-1)</f>
        <v>17481.4271231491</v>
      </c>
      <c r="N22" s="28" t="n">
        <f aca="false">Inputs!$C$20*12*(1+Inputs!$C$21)^(N$10-1)</f>
        <v>18005.8699368436</v>
      </c>
    </row>
    <row r="23" customFormat="false" ht="15" hidden="false" customHeight="false" outlineLevel="0" collapsed="false">
      <c r="B23" s="9" t="s">
        <v>78</v>
      </c>
      <c r="E23" s="28" t="n">
        <f aca="false">E18*E22/1000000</f>
        <v>7.935</v>
      </c>
      <c r="F23" s="28" t="n">
        <f aca="false">F18*F22/1000000</f>
        <v>7.60449</v>
      </c>
      <c r="G23" s="28" t="n">
        <f aca="false">G18*G22/1000000</f>
        <v>7.2470079</v>
      </c>
      <c r="H23" s="28" t="n">
        <f aca="false">H18*H22/1000000</f>
        <v>6.861232833</v>
      </c>
      <c r="I23" s="28" t="n">
        <f aca="false">I18*I22/1000000</f>
        <v>6.44578895487</v>
      </c>
      <c r="J23" s="28" t="n">
        <f aca="false">J18*J22/1000000</f>
        <v>5.9992433345025</v>
      </c>
      <c r="K23" s="28" t="n">
        <f aca="false">K18*K22/1000000</f>
        <v>5.52010376685357</v>
      </c>
      <c r="L23" s="28" t="n">
        <f aca="false">L18*L22/1000000</f>
        <v>5.00681650614465</v>
      </c>
      <c r="M23" s="28" t="n">
        <f aca="false">M18*M22/1000000</f>
        <v>4.45776391640302</v>
      </c>
      <c r="N23" s="28" t="n">
        <f aca="false">N18*N22/1000000</f>
        <v>3.87126203642137</v>
      </c>
    </row>
    <row r="24" customFormat="false" ht="15" hidden="false" customHeight="false" outlineLevel="0" collapsed="false">
      <c r="B24" s="9" t="s">
        <v>79</v>
      </c>
      <c r="E24" s="28" t="n">
        <f aca="false">Inputs!$C$6*Inputs!$C$24*12*(1+Inputs!$C$25)^(E$10-1)/1000000</f>
        <v>3.57</v>
      </c>
      <c r="F24" s="28" t="n">
        <f aca="false">Inputs!$C$6*Inputs!$C$24*12*(1+Inputs!$C$25)^(F$10-1)/1000000</f>
        <v>3.65925</v>
      </c>
      <c r="G24" s="28" t="n">
        <f aca="false">Inputs!$C$6*Inputs!$C$24*12*(1+Inputs!$C$25)^(G$10-1)/1000000</f>
        <v>3.75073125</v>
      </c>
      <c r="H24" s="28" t="n">
        <f aca="false">Inputs!$C$6*Inputs!$C$24*12*(1+Inputs!$C$25)^(H$10-1)/1000000</f>
        <v>3.84449953125</v>
      </c>
      <c r="I24" s="28" t="n">
        <f aca="false">Inputs!$C$6*Inputs!$C$24*12*(1+Inputs!$C$25)^(I$10-1)/1000000</f>
        <v>3.94061201953125</v>
      </c>
      <c r="J24" s="28" t="n">
        <f aca="false">Inputs!$C$6*Inputs!$C$24*12*(1+Inputs!$C$25)^(J$10-1)/1000000</f>
        <v>4.03912732001953</v>
      </c>
      <c r="K24" s="28" t="n">
        <f aca="false">Inputs!$C$6*Inputs!$C$24*12*(1+Inputs!$C$25)^(K$10-1)/1000000</f>
        <v>4.14010550302002</v>
      </c>
      <c r="L24" s="28" t="n">
        <f aca="false">Inputs!$C$6*Inputs!$C$24*12*(1+Inputs!$C$25)^(L$10-1)/1000000</f>
        <v>4.24360814059552</v>
      </c>
      <c r="M24" s="28" t="n">
        <f aca="false">Inputs!$C$6*Inputs!$C$24*12*(1+Inputs!$C$25)^(M$10-1)/1000000</f>
        <v>4.34969834411041</v>
      </c>
      <c r="N24" s="28" t="n">
        <f aca="false">Inputs!$C$6*Inputs!$C$24*12*(1+Inputs!$C$25)^(N$10-1)/1000000</f>
        <v>4.45844080271317</v>
      </c>
    </row>
    <row r="25" customFormat="false" ht="15" hidden="false" customHeight="false" outlineLevel="0" collapsed="false">
      <c r="B25" s="9" t="s">
        <v>80</v>
      </c>
      <c r="E25" s="28" t="n">
        <f aca="false">Inputs!$C$26*(1+Inputs!$C$27)^(E$10-1)</f>
        <v>4.5</v>
      </c>
      <c r="F25" s="28" t="n">
        <f aca="false">Inputs!$C$26*(1+Inputs!$C$27)^(F$10-1)</f>
        <v>4.635</v>
      </c>
      <c r="G25" s="28" t="n">
        <f aca="false">Inputs!$C$26*(1+Inputs!$C$27)^(G$10-1)</f>
        <v>4.77405</v>
      </c>
      <c r="H25" s="28" t="n">
        <f aca="false">Inputs!$C$26*(1+Inputs!$C$27)^(H$10-1)</f>
        <v>4.9172715</v>
      </c>
      <c r="I25" s="28" t="n">
        <f aca="false">Inputs!$C$26*(1+Inputs!$C$27)^(I$10-1)</f>
        <v>5.064789645</v>
      </c>
      <c r="J25" s="28" t="n">
        <f aca="false">Inputs!$C$26*(1+Inputs!$C$27)^(J$10-1)</f>
        <v>5.21673333435</v>
      </c>
      <c r="K25" s="28" t="n">
        <f aca="false">Inputs!$C$26*(1+Inputs!$C$27)^(K$10-1)</f>
        <v>5.3732353343805</v>
      </c>
      <c r="L25" s="28" t="n">
        <f aca="false">Inputs!$C$26*(1+Inputs!$C$27)^(L$10-1)</f>
        <v>5.53443239441192</v>
      </c>
      <c r="M25" s="28" t="n">
        <f aca="false">Inputs!$C$26*(1+Inputs!$C$27)^(M$10-1)</f>
        <v>5.70046536624427</v>
      </c>
      <c r="N25" s="28" t="n">
        <f aca="false">Inputs!$C$26*(1+Inputs!$C$27)^(N$10-1)</f>
        <v>5.8714793272316</v>
      </c>
    </row>
    <row r="26" customFormat="false" ht="15" hidden="false" customHeight="false" outlineLevel="0" collapsed="false">
      <c r="B26" s="29" t="s">
        <v>81</v>
      </c>
      <c r="E26" s="30" t="n">
        <f aca="false">E21-E23-E24-E25</f>
        <v>12.88689</v>
      </c>
      <c r="F26" s="30" t="n">
        <f aca="false">F21-F23-F24-F25</f>
        <v>13.673143233</v>
      </c>
      <c r="G26" s="30" t="n">
        <f aca="false">G21-G23-G24-G25</f>
        <v>14.4962537576901</v>
      </c>
      <c r="H26" s="30" t="n">
        <f aca="false">H21-H23-H24-H25</f>
        <v>15.3577529030966</v>
      </c>
      <c r="I26" s="30" t="n">
        <f aca="false">I21-I23-I24-I25</f>
        <v>16.2592313059964</v>
      </c>
      <c r="J26" s="30" t="n">
        <f aca="false">J21-J23-J24-J25</f>
        <v>17.2023411044337</v>
      </c>
      <c r="K26" s="30" t="n">
        <f aca="false">K21-K23-K24-K25</f>
        <v>18.188798209767</v>
      </c>
      <c r="L26" s="30" t="n">
        <f aca="false">L21-L23-L24-L25</f>
        <v>19.2203846599918</v>
      </c>
      <c r="M26" s="30" t="n">
        <f aca="false">M21-M23-M24-M25</f>
        <v>20.2989510571775</v>
      </c>
      <c r="N26" s="30" t="n">
        <f aca="false">N21-N23-N24-N25</f>
        <v>21.4264190919533</v>
      </c>
    </row>
    <row r="27" customFormat="false" ht="15" hidden="false" customHeight="false" outlineLevel="0" collapsed="false">
      <c r="B27" s="9" t="s">
        <v>82</v>
      </c>
      <c r="E27" s="28" t="n">
        <f aca="false">Inputs!$C$6*Inputs!$C$28*(1+Inputs!$C$29)^(E$10-1)/1000000</f>
        <v>1.02</v>
      </c>
      <c r="F27" s="28" t="n">
        <f aca="false">Inputs!$C$6*Inputs!$C$28*(1+Inputs!$C$29)^(F$10-1)/1000000</f>
        <v>1.0506</v>
      </c>
      <c r="G27" s="28" t="n">
        <f aca="false">Inputs!$C$6*Inputs!$C$28*(1+Inputs!$C$29)^(G$10-1)/1000000</f>
        <v>1.082118</v>
      </c>
      <c r="H27" s="28" t="n">
        <f aca="false">Inputs!$C$6*Inputs!$C$28*(1+Inputs!$C$29)^(H$10-1)/1000000</f>
        <v>1.11458154</v>
      </c>
      <c r="I27" s="28" t="n">
        <f aca="false">Inputs!$C$6*Inputs!$C$28*(1+Inputs!$C$29)^(I$10-1)/1000000</f>
        <v>1.1480189862</v>
      </c>
      <c r="J27" s="28" t="n">
        <f aca="false">Inputs!$C$6*Inputs!$C$28*(1+Inputs!$C$29)^(J$10-1)/1000000</f>
        <v>1.182459555786</v>
      </c>
      <c r="K27" s="28" t="n">
        <f aca="false">Inputs!$C$6*Inputs!$C$28*(1+Inputs!$C$29)^(K$10-1)/1000000</f>
        <v>1.21793334245958</v>
      </c>
      <c r="L27" s="28" t="n">
        <f aca="false">Inputs!$C$6*Inputs!$C$28*(1+Inputs!$C$29)^(L$10-1)/1000000</f>
        <v>1.25447134273337</v>
      </c>
      <c r="M27" s="28" t="n">
        <f aca="false">Inputs!$C$6*Inputs!$C$28*(1+Inputs!$C$29)^(M$10-1)/1000000</f>
        <v>1.29210548301537</v>
      </c>
      <c r="N27" s="28" t="n">
        <f aca="false">Inputs!$C$6*Inputs!$C$28*(1+Inputs!$C$29)^(N$10-1)/1000000</f>
        <v>1.33086864750583</v>
      </c>
    </row>
    <row r="28" customFormat="false" ht="15" hidden="false" customHeight="false" outlineLevel="0" collapsed="false">
      <c r="B28" s="9" t="s">
        <v>83</v>
      </c>
      <c r="E28" s="28" t="n">
        <f aca="false">E11*Inputs!$C$30*(1+Inputs!$C$29)^(E$10-1)/1000000</f>
        <v>0</v>
      </c>
      <c r="F28" s="28" t="n">
        <f aca="false">F11*Inputs!$C$30*(1+Inputs!$C$29)^(F$10-1)/1000000</f>
        <v>0</v>
      </c>
      <c r="G28" s="28" t="n">
        <f aca="false">G11*Inputs!$C$30*(1+Inputs!$C$29)^(G$10-1)/1000000</f>
        <v>0</v>
      </c>
      <c r="H28" s="28" t="n">
        <f aca="false">H11*Inputs!$C$30*(1+Inputs!$C$29)^(H$10-1)/1000000</f>
        <v>0</v>
      </c>
      <c r="I28" s="28" t="n">
        <f aca="false">I11*Inputs!$C$30*(1+Inputs!$C$29)^(I$10-1)/1000000</f>
        <v>0</v>
      </c>
      <c r="J28" s="28" t="n">
        <f aca="false">J11*Inputs!$C$30*(1+Inputs!$C$29)^(J$10-1)/1000000</f>
        <v>0</v>
      </c>
      <c r="K28" s="28" t="n">
        <f aca="false">K11*Inputs!$C$30*(1+Inputs!$C$29)^(K$10-1)/1000000</f>
        <v>0</v>
      </c>
      <c r="L28" s="28" t="n">
        <f aca="false">L11*Inputs!$C$30*(1+Inputs!$C$29)^(L$10-1)/1000000</f>
        <v>0</v>
      </c>
      <c r="M28" s="28" t="n">
        <f aca="false">M11*Inputs!$C$30*(1+Inputs!$C$29)^(M$10-1)/1000000</f>
        <v>0</v>
      </c>
      <c r="N28" s="28" t="n">
        <f aca="false">N11*Inputs!$C$30*(1+Inputs!$C$29)^(N$10-1)/1000000</f>
        <v>0</v>
      </c>
    </row>
    <row r="29" customFormat="false" ht="15" hidden="false" customHeight="false" outlineLevel="0" collapsed="false">
      <c r="B29" s="9" t="s">
        <v>84</v>
      </c>
      <c r="E29" s="28" t="n">
        <f aca="false">(D17-E17)*E22*Inputs!$C$23/1000000</f>
        <v>8.832</v>
      </c>
      <c r="F29" s="28" t="n">
        <f aca="false">(E17-F17)*F22*Inputs!$C$23/1000000</f>
        <v>9.09696</v>
      </c>
      <c r="G29" s="28" t="n">
        <f aca="false">(F17-G17)*G22*Inputs!$C$23/1000000</f>
        <v>9.3698688</v>
      </c>
      <c r="H29" s="28" t="n">
        <f aca="false">(G17-H17)*H22*Inputs!$C$23/1000000</f>
        <v>9.650964864</v>
      </c>
      <c r="I29" s="28" t="n">
        <f aca="false">(H17-I17)*I22*Inputs!$C$23/1000000</f>
        <v>9.94049380992</v>
      </c>
      <c r="J29" s="28" t="n">
        <f aca="false">(I17-J17)*J22*Inputs!$C$23/1000000</f>
        <v>10.2387086242176</v>
      </c>
      <c r="K29" s="28" t="n">
        <f aca="false">(J17-K17)*K22*Inputs!$C$23/1000000</f>
        <v>10.5458698829441</v>
      </c>
      <c r="L29" s="28" t="n">
        <f aca="false">(K17-L17)*L22*Inputs!$C$23/1000000</f>
        <v>10.8622459794325</v>
      </c>
      <c r="M29" s="28" t="n">
        <f aca="false">(L17-M17)*M22*Inputs!$C$23/1000000</f>
        <v>11.1881133588154</v>
      </c>
      <c r="N29" s="28" t="n">
        <f aca="false">(M17-N17)*N22*Inputs!$C$23/1000000</f>
        <v>11.5237567595799</v>
      </c>
    </row>
    <row r="30" customFormat="false" ht="15" hidden="false" customHeight="false" outlineLevel="0" collapsed="false">
      <c r="B30" s="29" t="s">
        <v>85</v>
      </c>
      <c r="E30" s="30" t="n">
        <f aca="false">E26-E27-E28-E29</f>
        <v>3.03489</v>
      </c>
      <c r="F30" s="30" t="n">
        <f aca="false">F26-F27-F28-F29</f>
        <v>3.525583233</v>
      </c>
      <c r="G30" s="30" t="n">
        <f aca="false">G26-G27-G28-G29</f>
        <v>4.0442669576901</v>
      </c>
      <c r="H30" s="30" t="n">
        <f aca="false">H26-H27-H28-H29</f>
        <v>4.59220649909658</v>
      </c>
      <c r="I30" s="30" t="n">
        <f aca="false">I26-I27-I28-I29</f>
        <v>5.17071850987644</v>
      </c>
      <c r="J30" s="30" t="n">
        <f aca="false">J26-J27-J28-J29</f>
        <v>5.78117292443013</v>
      </c>
      <c r="K30" s="30" t="n">
        <f aca="false">K26-K27-K28-K29</f>
        <v>6.42499498436326</v>
      </c>
      <c r="L30" s="30" t="n">
        <f aca="false">L26-L27-L28-L29</f>
        <v>7.10366733782598</v>
      </c>
      <c r="M30" s="30" t="n">
        <f aca="false">M26-M27-M28-M29</f>
        <v>7.81873221534667</v>
      </c>
      <c r="N30" s="30" t="n">
        <f aca="false">N26-N27-N28-N29</f>
        <v>8.57179368486759</v>
      </c>
    </row>
    <row r="31" customFormat="false" ht="15" hidden="false" customHeight="false" outlineLevel="0" collapsed="false">
      <c r="B31" s="9" t="s">
        <v>86</v>
      </c>
      <c r="C31" s="28" t="n">
        <f aca="false">Inputs!$C$33*(1+Inputs!$C$34)</f>
        <v>287.64</v>
      </c>
    </row>
    <row r="32" customFormat="false" ht="15" hidden="false" customHeight="false" outlineLevel="0" collapsed="false">
      <c r="B32" s="29" t="s">
        <v>87</v>
      </c>
      <c r="C32" s="30" t="n">
        <f aca="false">N26*$C$9*(1-Inputs!$C$36)</f>
        <v>443.205478917054</v>
      </c>
    </row>
    <row r="33" customFormat="false" ht="15" hidden="false" customHeight="false" outlineLevel="0" collapsed="false">
      <c r="B33" s="9" t="s">
        <v>88</v>
      </c>
      <c r="C33" s="28" t="n">
        <f aca="false">Inputs!$C$37*E26</f>
        <v>90.20823</v>
      </c>
    </row>
    <row r="34" customFormat="false" ht="15" hidden="false" customHeight="false" outlineLevel="0" collapsed="false">
      <c r="B34" s="9" t="s">
        <v>89</v>
      </c>
      <c r="C34" s="28" t="n">
        <f aca="false">Inputs!$C$40*INDEX(E26:N26,Inputs!$C$39)</f>
        <v>127.321587468369</v>
      </c>
    </row>
    <row r="35" customFormat="false" ht="15" hidden="false" customHeight="false" outlineLevel="0" collapsed="false">
      <c r="B35" s="29" t="s">
        <v>90</v>
      </c>
      <c r="D35" s="30" t="n">
        <f aca="false">-$C$31</f>
        <v>-287.64</v>
      </c>
      <c r="E35" s="30" t="n">
        <f aca="false">E30</f>
        <v>3.03489</v>
      </c>
      <c r="F35" s="30" t="n">
        <f aca="false">F30</f>
        <v>3.525583233</v>
      </c>
      <c r="G35" s="30" t="n">
        <f aca="false">G30</f>
        <v>4.0442669576901</v>
      </c>
      <c r="H35" s="30" t="n">
        <f aca="false">H30</f>
        <v>4.59220649909658</v>
      </c>
      <c r="I35" s="30" t="n">
        <f aca="false">I30</f>
        <v>5.17071850987644</v>
      </c>
      <c r="J35" s="30" t="n">
        <f aca="false">J30</f>
        <v>5.78117292443013</v>
      </c>
      <c r="K35" s="30" t="n">
        <f aca="false">K30</f>
        <v>6.42499498436326</v>
      </c>
      <c r="L35" s="30" t="n">
        <f aca="false">L30</f>
        <v>7.10366733782598</v>
      </c>
      <c r="M35" s="30" t="n">
        <f aca="false">M30</f>
        <v>7.81873221534667</v>
      </c>
      <c r="N35" s="30" t="n">
        <f aca="false">N30+$C$32</f>
        <v>451.777272601922</v>
      </c>
    </row>
    <row r="37" customFormat="false" ht="15" hidden="false" customHeight="false" outlineLevel="0" collapsed="false">
      <c r="B37" s="23" t="s">
        <v>91</v>
      </c>
      <c r="C37" s="24"/>
      <c r="D37" s="24" t="n">
        <v>0</v>
      </c>
      <c r="E37" s="24" t="n">
        <v>1</v>
      </c>
      <c r="F37" s="24" t="n">
        <v>2</v>
      </c>
      <c r="G37" s="24" t="n">
        <v>3</v>
      </c>
      <c r="H37" s="24" t="n">
        <v>4</v>
      </c>
      <c r="I37" s="24" t="n">
        <v>5</v>
      </c>
      <c r="J37" s="24" t="n">
        <v>6</v>
      </c>
      <c r="K37" s="24" t="n">
        <v>7</v>
      </c>
      <c r="L37" s="24" t="n">
        <v>8</v>
      </c>
      <c r="M37" s="24" t="n">
        <v>9</v>
      </c>
      <c r="N37" s="24" t="n">
        <v>10</v>
      </c>
    </row>
    <row r="38" customFormat="false" ht="15" hidden="false" customHeight="false" outlineLevel="0" collapsed="false">
      <c r="B38" s="9" t="s">
        <v>92</v>
      </c>
      <c r="E38" s="28" t="n">
        <f aca="false">IF(E$37&lt;Inputs!$C$39,$C$33,$C$34)</f>
        <v>90.20823</v>
      </c>
      <c r="F38" s="28" t="n">
        <f aca="false">IF(F$37&lt;Inputs!$C$39,$C$33,$C$34)</f>
        <v>90.20823</v>
      </c>
      <c r="G38" s="28" t="n">
        <f aca="false">IF(G$37&lt;Inputs!$C$39,$C$33,$C$34)</f>
        <v>90.20823</v>
      </c>
      <c r="H38" s="28" t="n">
        <f aca="false">IF(H$37&lt;Inputs!$C$39,$C$33,$C$34)</f>
        <v>90.20823</v>
      </c>
      <c r="I38" s="28" t="n">
        <f aca="false">IF(I$37&lt;Inputs!$C$39,$C$33,$C$34)</f>
        <v>90.20823</v>
      </c>
      <c r="J38" s="28" t="n">
        <f aca="false">IF(J$37&lt;Inputs!$C$39,$C$33,$C$34)</f>
        <v>90.20823</v>
      </c>
      <c r="K38" s="28" t="n">
        <f aca="false">IF(K$37&lt;Inputs!$C$39,$C$33,$C$34)</f>
        <v>127.321587468369</v>
      </c>
      <c r="L38" s="28" t="n">
        <f aca="false">IF(L$37&lt;Inputs!$C$39,$C$33,$C$34)</f>
        <v>127.321587468369</v>
      </c>
      <c r="M38" s="28" t="n">
        <f aca="false">IF(M$37&lt;Inputs!$C$39,$C$33,$C$34)</f>
        <v>127.321587468369</v>
      </c>
      <c r="N38" s="28" t="n">
        <f aca="false">IF(N$37&lt;Inputs!$C$39,$C$33,$C$34)</f>
        <v>127.321587468369</v>
      </c>
    </row>
    <row r="39" customFormat="false" ht="15" hidden="false" customHeight="false" outlineLevel="0" collapsed="false">
      <c r="B39" s="9" t="s">
        <v>93</v>
      </c>
      <c r="E39" s="28" t="n">
        <f aca="false">IF(E$37&lt;=Inputs!$C$39,$C$33*Inputs!$C$38,$C$34*Inputs!$C$41)</f>
        <v>5.638014375</v>
      </c>
      <c r="F39" s="28" t="n">
        <f aca="false">IF(F$37&lt;=Inputs!$C$39,$C$33*Inputs!$C$38,$C$34*Inputs!$C$41)</f>
        <v>5.638014375</v>
      </c>
      <c r="G39" s="28" t="n">
        <f aca="false">IF(G$37&lt;=Inputs!$C$39,$C$33*Inputs!$C$38,$C$34*Inputs!$C$41)</f>
        <v>5.638014375</v>
      </c>
      <c r="H39" s="28" t="n">
        <f aca="false">IF(H$37&lt;=Inputs!$C$39,$C$33*Inputs!$C$38,$C$34*Inputs!$C$41)</f>
        <v>5.638014375</v>
      </c>
      <c r="I39" s="28" t="n">
        <f aca="false">IF(I$37&lt;=Inputs!$C$39,$C$33*Inputs!$C$38,$C$34*Inputs!$C$41)</f>
        <v>5.638014375</v>
      </c>
      <c r="J39" s="28" t="n">
        <f aca="false">IF(J$37&lt;=Inputs!$C$39,$C$33*Inputs!$C$38,$C$34*Inputs!$C$41)</f>
        <v>5.638014375</v>
      </c>
      <c r="K39" s="28" t="n">
        <f aca="false">IF(K$37&lt;=Inputs!$C$39,$C$33*Inputs!$C$38,$C$34*Inputs!$C$41)</f>
        <v>5.638014375</v>
      </c>
      <c r="L39" s="28" t="n">
        <f aca="false">IF(L$37&lt;=Inputs!$C$39,$C$33*Inputs!$C$38,$C$34*Inputs!$C$41)</f>
        <v>8.27590318544397</v>
      </c>
      <c r="M39" s="28" t="n">
        <f aca="false">IF(M$37&lt;=Inputs!$C$39,$C$33*Inputs!$C$38,$C$34*Inputs!$C$41)</f>
        <v>8.27590318544397</v>
      </c>
      <c r="N39" s="28" t="n">
        <f aca="false">IF(N$37&lt;=Inputs!$C$39,$C$33*Inputs!$C$38,$C$34*Inputs!$C$41)</f>
        <v>8.27590318544397</v>
      </c>
    </row>
    <row r="40" customFormat="false" ht="15" hidden="false" customHeight="false" outlineLevel="0" collapsed="false">
      <c r="B40" s="9" t="s">
        <v>94</v>
      </c>
      <c r="E40" s="26" t="n">
        <f aca="false">E38/E26</f>
        <v>7</v>
      </c>
      <c r="F40" s="26" t="n">
        <f aca="false">F38/F26</f>
        <v>6.59747568373915</v>
      </c>
      <c r="G40" s="26" t="n">
        <f aca="false">G38/G26</f>
        <v>6.2228649903528</v>
      </c>
      <c r="H40" s="26" t="n">
        <f aca="false">H38/H26</f>
        <v>5.87379094905293</v>
      </c>
      <c r="I40" s="26" t="n">
        <f aca="false">I38/I26</f>
        <v>5.54812391202843</v>
      </c>
      <c r="J40" s="26" t="n">
        <f aca="false">J38/J26</f>
        <v>5.24395077695267</v>
      </c>
      <c r="K40" s="26" t="n">
        <f aca="false">K38/K26</f>
        <v>7</v>
      </c>
      <c r="L40" s="26" t="n">
        <f aca="false">L38/L26</f>
        <v>6.62429965480322</v>
      </c>
      <c r="M40" s="26" t="n">
        <f aca="false">M38/M26</f>
        <v>6.2723234865552</v>
      </c>
      <c r="N40" s="26" t="n">
        <f aca="false">N38/N26</f>
        <v>5.94227093766613</v>
      </c>
    </row>
    <row r="41" customFormat="false" ht="15" hidden="false" customHeight="false" outlineLevel="0" collapsed="false">
      <c r="B41" s="9" t="s">
        <v>95</v>
      </c>
      <c r="E41" s="26" t="n">
        <f aca="false">E26/E39</f>
        <v>2.28571428571429</v>
      </c>
      <c r="F41" s="26" t="n">
        <f aca="false">F26/F39</f>
        <v>2.42516998424645</v>
      </c>
      <c r="G41" s="26" t="n">
        <f aca="false">G26/G39</f>
        <v>2.57116296509799</v>
      </c>
      <c r="H41" s="26" t="n">
        <f aca="false">H26/H39</f>
        <v>2.7239648361302</v>
      </c>
      <c r="I41" s="26" t="n">
        <f aca="false">I26/I39</f>
        <v>2.88385772446642</v>
      </c>
      <c r="J41" s="26" t="n">
        <f aca="false">J26/J39</f>
        <v>3.05113466555036</v>
      </c>
      <c r="K41" s="26" t="n">
        <f aca="false">K26/K39</f>
        <v>3.22610000613327</v>
      </c>
      <c r="L41" s="26" t="n">
        <f aca="false">L26/L39</f>
        <v>2.32245160791604</v>
      </c>
      <c r="M41" s="26" t="n">
        <f aca="false">M26/M39</f>
        <v>2.45277773341769</v>
      </c>
      <c r="N41" s="26" t="n">
        <f aca="false">N26/N39</f>
        <v>2.58901277743788</v>
      </c>
    </row>
    <row r="42" customFormat="false" ht="15" hidden="false" customHeight="false" outlineLevel="0" collapsed="false">
      <c r="B42" s="9" t="s">
        <v>96</v>
      </c>
      <c r="D42" s="28" t="n">
        <f aca="false">$C$33*(1-Inputs!$C$42)</f>
        <v>89.3061477</v>
      </c>
      <c r="E42" s="28" t="n">
        <f aca="false">-E39+IF(E$37=Inputs!$C$39,$C$34*(1-Inputs!$C$42)-$C$33,0)</f>
        <v>-5.638014375</v>
      </c>
      <c r="F42" s="28" t="n">
        <f aca="false">-F39+IF(F$37=Inputs!$C$39,$C$34*(1-Inputs!$C$42)-$C$33,0)</f>
        <v>-5.638014375</v>
      </c>
      <c r="G42" s="28" t="n">
        <f aca="false">-G39+IF(G$37=Inputs!$C$39,$C$34*(1-Inputs!$C$42)-$C$33,0)</f>
        <v>-5.638014375</v>
      </c>
      <c r="H42" s="28" t="n">
        <f aca="false">-H39+IF(H$37=Inputs!$C$39,$C$34*(1-Inputs!$C$42)-$C$33,0)</f>
        <v>-5.638014375</v>
      </c>
      <c r="I42" s="28" t="n">
        <f aca="false">-I39+IF(I$37=Inputs!$C$39,$C$34*(1-Inputs!$C$42)-$C$33,0)</f>
        <v>-5.638014375</v>
      </c>
      <c r="J42" s="28" t="n">
        <f aca="false">-J39+IF(J$37=Inputs!$C$39,$C$34*(1-Inputs!$C$42)-$C$33,0)</f>
        <v>-5.638014375</v>
      </c>
      <c r="K42" s="28" t="n">
        <f aca="false">-K39+IF(K$37=Inputs!$C$39,$C$34*(1-Inputs!$C$42)-$C$33,0)</f>
        <v>30.2021272186851</v>
      </c>
      <c r="L42" s="28" t="n">
        <f aca="false">-L39+IF(L$37=Inputs!$C$39,$C$34*(1-Inputs!$C$42)-$C$33,0)</f>
        <v>-8.27590318544397</v>
      </c>
      <c r="M42" s="28" t="n">
        <f aca="false">-M39+IF(M$37=Inputs!$C$39,$C$34*(1-Inputs!$C$42)-$C$33,0)</f>
        <v>-8.27590318544397</v>
      </c>
      <c r="N42" s="28" t="n">
        <f aca="false">-N39+IF(N$37=Inputs!$C$39,$C$34*(1-Inputs!$C$42)-$C$33,0)-$C$34</f>
        <v>-135.597490653813</v>
      </c>
    </row>
    <row r="43" customFormat="false" ht="15" hidden="false" customHeight="false" outlineLevel="0" collapsed="false">
      <c r="B43" s="29" t="s">
        <v>97</v>
      </c>
      <c r="D43" s="30" t="n">
        <f aca="false">D35+D42</f>
        <v>-198.3338523</v>
      </c>
      <c r="E43" s="30" t="n">
        <f aca="false">E35+E42</f>
        <v>-2.603124375</v>
      </c>
      <c r="F43" s="30" t="n">
        <f aca="false">F35+F42</f>
        <v>-2.112431142</v>
      </c>
      <c r="G43" s="30" t="n">
        <f aca="false">G35+G42</f>
        <v>-1.5937474173099</v>
      </c>
      <c r="H43" s="30" t="n">
        <f aca="false">H35+H42</f>
        <v>-1.04580787590342</v>
      </c>
      <c r="I43" s="30" t="n">
        <f aca="false">I35+I42</f>
        <v>-0.467295865123562</v>
      </c>
      <c r="J43" s="30" t="n">
        <f aca="false">J35+J42</f>
        <v>0.143158549430126</v>
      </c>
      <c r="K43" s="30" t="n">
        <f aca="false">K35+K42</f>
        <v>36.6271222030483</v>
      </c>
      <c r="L43" s="30" t="n">
        <f aca="false">L35+L42</f>
        <v>-1.17223584761799</v>
      </c>
      <c r="M43" s="30" t="n">
        <f aca="false">M35+M42</f>
        <v>-0.457170970097296</v>
      </c>
      <c r="N43" s="30" t="n">
        <f aca="false">N35+N42</f>
        <v>316.179781948109</v>
      </c>
    </row>
    <row r="44" customFormat="false" ht="15" hidden="false" customHeight="false" outlineLevel="0" collapsed="false">
      <c r="B44" s="9" t="s">
        <v>98</v>
      </c>
      <c r="C44" s="28" t="n">
        <f aca="false">-D43</f>
        <v>198.3338523</v>
      </c>
    </row>
    <row r="45" customFormat="false" ht="15" hidden="false" customHeight="false" outlineLevel="0" collapsed="false">
      <c r="B45" s="9" t="s">
        <v>99</v>
      </c>
      <c r="C45" s="31" t="n">
        <f aca="false">IRR(D35:N35,0.08)</f>
        <v>0.0595941542428797</v>
      </c>
    </row>
    <row r="46" customFormat="false" ht="15" hidden="false" customHeight="false" outlineLevel="0" collapsed="false">
      <c r="B46" s="29" t="s">
        <v>100</v>
      </c>
      <c r="C46" s="32" t="n">
        <f aca="false">IRR(D43:N43,0.08)</f>
        <v>0.057171919271942</v>
      </c>
    </row>
    <row r="47" customFormat="false" ht="15" hidden="false" customHeight="false" outlineLevel="0" collapsed="false">
      <c r="B47" s="9" t="s">
        <v>101</v>
      </c>
      <c r="C47" s="22" t="n">
        <f aca="false">SUMIF(D43:N43,"&gt;0")/-SUMIF(D43:N43,"&lt;0")</f>
        <v>1.69862565520816</v>
      </c>
    </row>
    <row r="48" customFormat="false" ht="15" hidden="false" customHeight="false" outlineLevel="0" collapsed="false">
      <c r="B48" s="9" t="s">
        <v>102</v>
      </c>
      <c r="C48" s="33" t="n">
        <f aca="false">Inputs!$C$33/E26</f>
        <v>21.8827040503954</v>
      </c>
    </row>
    <row r="50" customFormat="false" ht="15" hidden="false" customHeight="false" outlineLevel="0" collapsed="false">
      <c r="B50" s="7" t="s">
        <v>112</v>
      </c>
      <c r="C50" s="8"/>
      <c r="D50" s="8"/>
      <c r="E50" s="8"/>
      <c r="F50" s="8"/>
      <c r="G50" s="8"/>
      <c r="H50" s="8"/>
      <c r="I50" s="8"/>
      <c r="J50" s="8"/>
      <c r="K50" s="8"/>
      <c r="L50" s="8"/>
      <c r="M50" s="8"/>
      <c r="N50" s="8"/>
    </row>
    <row r="51" customFormat="false" ht="15" hidden="false" customHeight="false" outlineLevel="0" collapsed="false">
      <c r="B51" s="9" t="s">
        <v>23</v>
      </c>
      <c r="C51" s="20" t="n">
        <f aca="false">Inputs!$C$12</f>
        <v>0.03</v>
      </c>
    </row>
    <row r="52" customFormat="false" ht="15" hidden="false" customHeight="false" outlineLevel="0" collapsed="false">
      <c r="B52" s="9" t="s">
        <v>34</v>
      </c>
      <c r="C52" s="14" t="n">
        <v>0</v>
      </c>
    </row>
    <row r="53" customFormat="false" ht="15" hidden="false" customHeight="false" outlineLevel="0" collapsed="false">
      <c r="B53" s="9" t="s">
        <v>63</v>
      </c>
      <c r="C53" s="21" t="n">
        <f aca="false">Inputs!$C$15</f>
        <v>0</v>
      </c>
    </row>
    <row r="54" customFormat="false" ht="15" hidden="false" customHeight="false" outlineLevel="0" collapsed="false">
      <c r="B54" s="9" t="s">
        <v>64</v>
      </c>
      <c r="C54" s="22" t="n">
        <f aca="false">Inputs!$C$35</f>
        <v>21</v>
      </c>
    </row>
    <row r="55" customFormat="false" ht="15" hidden="false" customHeight="false" outlineLevel="0" collapsed="false">
      <c r="B55" s="23" t="s">
        <v>65</v>
      </c>
      <c r="C55" s="24"/>
      <c r="D55" s="24" t="n">
        <v>0</v>
      </c>
      <c r="E55" s="24" t="n">
        <v>1</v>
      </c>
      <c r="F55" s="24" t="n">
        <v>2</v>
      </c>
      <c r="G55" s="24" t="n">
        <v>3</v>
      </c>
      <c r="H55" s="24" t="n">
        <v>4</v>
      </c>
      <c r="I55" s="24" t="n">
        <v>5</v>
      </c>
      <c r="J55" s="24" t="n">
        <v>6</v>
      </c>
      <c r="K55" s="24" t="n">
        <v>7</v>
      </c>
      <c r="L55" s="24" t="n">
        <v>8</v>
      </c>
      <c r="M55" s="24" t="n">
        <v>9</v>
      </c>
      <c r="N55" s="24" t="n">
        <v>10</v>
      </c>
    </row>
    <row r="56" customFormat="false" ht="15" hidden="false" customHeight="false" outlineLevel="0" collapsed="false">
      <c r="B56" s="9" t="s">
        <v>66</v>
      </c>
      <c r="E56" s="25" t="n">
        <f aca="false">Inputs!$C$6*$C$51</f>
        <v>25.5</v>
      </c>
      <c r="F56" s="25" t="n">
        <f aca="false">Inputs!$C$6*$C$51</f>
        <v>25.5</v>
      </c>
      <c r="G56" s="25" t="n">
        <f aca="false">Inputs!$C$6*$C$51</f>
        <v>25.5</v>
      </c>
      <c r="H56" s="25" t="n">
        <f aca="false">Inputs!$C$6*$C$51</f>
        <v>25.5</v>
      </c>
      <c r="I56" s="25" t="n">
        <f aca="false">Inputs!$C$6*$C$51</f>
        <v>25.5</v>
      </c>
      <c r="J56" s="25" t="n">
        <f aca="false">Inputs!$C$6*$C$51</f>
        <v>25.5</v>
      </c>
      <c r="K56" s="25" t="n">
        <f aca="false">Inputs!$C$6*$C$51</f>
        <v>25.5</v>
      </c>
      <c r="L56" s="25" t="n">
        <f aca="false">Inputs!$C$6*$C$51</f>
        <v>25.5</v>
      </c>
      <c r="M56" s="25" t="n">
        <f aca="false">Inputs!$C$6*$C$51</f>
        <v>25.5</v>
      </c>
      <c r="N56" s="25" t="n">
        <f aca="false">Inputs!$C$6*$C$51</f>
        <v>25.5</v>
      </c>
    </row>
    <row r="57" customFormat="false" ht="15" hidden="false" customHeight="false" outlineLevel="0" collapsed="false">
      <c r="B57" s="9" t="s">
        <v>67</v>
      </c>
      <c r="E57" s="26" t="n">
        <f aca="false">D59*Inputs!$C$13</f>
        <v>3.82</v>
      </c>
      <c r="F57" s="26" t="n">
        <f aca="false">E59*Inputs!$C$13</f>
        <v>4.0368</v>
      </c>
      <c r="G57" s="26" t="n">
        <f aca="false">F59*Inputs!$C$13</f>
        <v>4.251432</v>
      </c>
      <c r="H57" s="26" t="n">
        <f aca="false">G59*Inputs!$C$13</f>
        <v>4.46391768</v>
      </c>
      <c r="I57" s="26" t="n">
        <f aca="false">H59*Inputs!$C$13</f>
        <v>4.6742785032</v>
      </c>
      <c r="J57" s="26" t="n">
        <f aca="false">I59*Inputs!$C$13</f>
        <v>4.882535718168</v>
      </c>
      <c r="K57" s="26" t="n">
        <f aca="false">J59*Inputs!$C$13</f>
        <v>5.08871036098632</v>
      </c>
      <c r="L57" s="26" t="n">
        <f aca="false">K59*Inputs!$C$13</f>
        <v>5.29282325737646</v>
      </c>
      <c r="M57" s="26" t="n">
        <f aca="false">L59*Inputs!$C$13</f>
        <v>5.49489502480269</v>
      </c>
      <c r="N57" s="26" t="n">
        <f aca="false">M59*Inputs!$C$13</f>
        <v>5.69494607455467</v>
      </c>
    </row>
    <row r="58" customFormat="false" ht="15" hidden="false" customHeight="false" outlineLevel="0" collapsed="false">
      <c r="B58" s="9" t="s">
        <v>68</v>
      </c>
      <c r="E58" s="25" t="n">
        <f aca="false">IF(AND($C$53&gt;0,OR(E$55=Inputs!$C$14,E$55=Inputs!$C$14+1)),$C$53/2,0)</f>
        <v>0</v>
      </c>
      <c r="F58" s="25" t="n">
        <f aca="false">IF(AND($C$53&gt;0,OR(F$55=Inputs!$C$14,F$55=Inputs!$C$14+1)),$C$53/2,0)</f>
        <v>0</v>
      </c>
      <c r="G58" s="25" t="n">
        <f aca="false">IF(AND($C$53&gt;0,OR(G$55=Inputs!$C$14,G$55=Inputs!$C$14+1)),$C$53/2,0)</f>
        <v>0</v>
      </c>
      <c r="H58" s="25" t="n">
        <f aca="false">IF(AND($C$53&gt;0,OR(H$55=Inputs!$C$14,H$55=Inputs!$C$14+1)),$C$53/2,0)</f>
        <v>0</v>
      </c>
      <c r="I58" s="25" t="n">
        <f aca="false">IF(AND($C$53&gt;0,OR(I$55=Inputs!$C$14,I$55=Inputs!$C$14+1)),$C$53/2,0)</f>
        <v>0</v>
      </c>
      <c r="J58" s="25" t="n">
        <f aca="false">IF(AND($C$53&gt;0,OR(J$55=Inputs!$C$14,J$55=Inputs!$C$14+1)),$C$53/2,0)</f>
        <v>0</v>
      </c>
      <c r="K58" s="25" t="n">
        <f aca="false">IF(AND($C$53&gt;0,OR(K$55=Inputs!$C$14,K$55=Inputs!$C$14+1)),$C$53/2,0)</f>
        <v>0</v>
      </c>
      <c r="L58" s="25" t="n">
        <f aca="false">IF(AND($C$53&gt;0,OR(L$55=Inputs!$C$14,L$55=Inputs!$C$14+1)),$C$53/2,0)</f>
        <v>0</v>
      </c>
      <c r="M58" s="25" t="n">
        <f aca="false">IF(AND($C$53&gt;0,OR(M$55=Inputs!$C$14,M$55=Inputs!$C$14+1)),$C$53/2,0)</f>
        <v>0</v>
      </c>
      <c r="N58" s="25" t="n">
        <f aca="false">IF(AND($C$53&gt;0,OR(N$55=Inputs!$C$14,N$55=Inputs!$C$14+1)),$C$53/2,0)</f>
        <v>0</v>
      </c>
    </row>
    <row r="59" customFormat="false" ht="15" hidden="false" customHeight="false" outlineLevel="0" collapsed="false">
      <c r="B59" s="9" t="s">
        <v>69</v>
      </c>
      <c r="D59" s="25" t="n">
        <f aca="false">Inputs!$C$7</f>
        <v>382</v>
      </c>
      <c r="E59" s="25" t="n">
        <f aca="false">D59+E56-E57-E58</f>
        <v>403.68</v>
      </c>
      <c r="F59" s="25" t="n">
        <f aca="false">E59+F56-F57-F58</f>
        <v>425.1432</v>
      </c>
      <c r="G59" s="25" t="n">
        <f aca="false">F59+G56-G57-G58</f>
        <v>446.391768</v>
      </c>
      <c r="H59" s="25" t="n">
        <f aca="false">G59+H56-H57-H58</f>
        <v>467.42785032</v>
      </c>
      <c r="I59" s="25" t="n">
        <f aca="false">H59+I56-I57-I58</f>
        <v>488.2535718168</v>
      </c>
      <c r="J59" s="25" t="n">
        <f aca="false">I59+J56-J57-J58</f>
        <v>508.871036098632</v>
      </c>
      <c r="K59" s="25" t="n">
        <f aca="false">J59+K56-K57-K58</f>
        <v>529.282325737646</v>
      </c>
      <c r="L59" s="25" t="n">
        <f aca="false">K59+L56-L57-L58</f>
        <v>549.489502480269</v>
      </c>
      <c r="M59" s="25" t="n">
        <f aca="false">L59+M56-M57-M58</f>
        <v>569.494607455467</v>
      </c>
      <c r="N59" s="25" t="n">
        <f aca="false">M59+N56-N57-N58</f>
        <v>589.299661380912</v>
      </c>
    </row>
    <row r="60" customFormat="false" ht="15" hidden="false" customHeight="false" outlineLevel="0" collapsed="false">
      <c r="B60" s="9" t="s">
        <v>70</v>
      </c>
      <c r="E60" s="25" t="n">
        <f aca="false">(E59+D59)/2</f>
        <v>392.84</v>
      </c>
      <c r="F60" s="25" t="n">
        <f aca="false">(F59+E59)/2</f>
        <v>414.4116</v>
      </c>
      <c r="G60" s="25" t="n">
        <f aca="false">(G59+F59)/2</f>
        <v>435.767484</v>
      </c>
      <c r="H60" s="25" t="n">
        <f aca="false">(H59+G59)/2</f>
        <v>456.90980916</v>
      </c>
      <c r="I60" s="25" t="n">
        <f aca="false">(I59+H59)/2</f>
        <v>477.8407110684</v>
      </c>
      <c r="J60" s="25" t="n">
        <f aca="false">(J59+I59)/2</f>
        <v>498.562303957716</v>
      </c>
      <c r="K60" s="25" t="n">
        <f aca="false">(K59+J59)/2</f>
        <v>519.076680918139</v>
      </c>
      <c r="L60" s="25" t="n">
        <f aca="false">(L59+K59)/2</f>
        <v>539.385914108957</v>
      </c>
      <c r="M60" s="25" t="n">
        <f aca="false">(M59+L59)/2</f>
        <v>559.492054967868</v>
      </c>
      <c r="N60" s="25" t="n">
        <f aca="false">(N59+M59)/2</f>
        <v>579.397134418189</v>
      </c>
    </row>
    <row r="61" customFormat="false" ht="15" hidden="false" customHeight="false" outlineLevel="0" collapsed="false">
      <c r="B61" s="9" t="s">
        <v>71</v>
      </c>
      <c r="D61" s="26" t="n">
        <f aca="false">(Inputs!$C$6+D59)/Inputs!$C$6</f>
        <v>1.44941176470588</v>
      </c>
      <c r="E61" s="26" t="n">
        <f aca="false">(Inputs!$C$6+E59)/Inputs!$C$6</f>
        <v>1.47491764705882</v>
      </c>
      <c r="F61" s="26" t="n">
        <f aca="false">(Inputs!$C$6+F59)/Inputs!$C$6</f>
        <v>1.50016847058824</v>
      </c>
      <c r="G61" s="26" t="n">
        <f aca="false">(Inputs!$C$6+G59)/Inputs!$C$6</f>
        <v>1.52516678588235</v>
      </c>
      <c r="H61" s="26" t="n">
        <f aca="false">(Inputs!$C$6+H59)/Inputs!$C$6</f>
        <v>1.54991511802353</v>
      </c>
      <c r="I61" s="26" t="n">
        <f aca="false">(Inputs!$C$6+I59)/Inputs!$C$6</f>
        <v>1.57441596684329</v>
      </c>
      <c r="J61" s="26" t="n">
        <f aca="false">(Inputs!$C$6+J59)/Inputs!$C$6</f>
        <v>1.59867180717486</v>
      </c>
      <c r="K61" s="26" t="n">
        <f aca="false">(Inputs!$C$6+K59)/Inputs!$C$6</f>
        <v>1.62268508910311</v>
      </c>
      <c r="L61" s="26" t="n">
        <f aca="false">(Inputs!$C$6+L59)/Inputs!$C$6</f>
        <v>1.64645823821208</v>
      </c>
      <c r="M61" s="26" t="n">
        <f aca="false">(Inputs!$C$6+M59)/Inputs!$C$6</f>
        <v>1.66999365582996</v>
      </c>
      <c r="N61" s="26" t="n">
        <f aca="false">(Inputs!$C$6+N59)/Inputs!$C$6</f>
        <v>1.69329371927166</v>
      </c>
    </row>
    <row r="62" customFormat="false" ht="15" hidden="false" customHeight="false" outlineLevel="0" collapsed="false">
      <c r="B62" s="9" t="s">
        <v>72</v>
      </c>
      <c r="D62" s="27" t="n">
        <f aca="false">ROUND(Inputs!$C$6*Inputs!$C$19,0)</f>
        <v>595</v>
      </c>
      <c r="E62" s="27" t="n">
        <f aca="false">MAX(0,D62-$C$52)</f>
        <v>595</v>
      </c>
      <c r="F62" s="27" t="n">
        <f aca="false">MAX(0,E62-$C$52)</f>
        <v>595</v>
      </c>
      <c r="G62" s="27" t="n">
        <f aca="false">MAX(0,F62-$C$52)</f>
        <v>595</v>
      </c>
      <c r="H62" s="27" t="n">
        <f aca="false">MAX(0,G62-$C$52)</f>
        <v>595</v>
      </c>
      <c r="I62" s="27" t="n">
        <f aca="false">MAX(0,H62-$C$52)</f>
        <v>595</v>
      </c>
      <c r="J62" s="27" t="n">
        <f aca="false">MAX(0,I62-$C$52)</f>
        <v>595</v>
      </c>
      <c r="K62" s="27" t="n">
        <f aca="false">MAX(0,J62-$C$52)</f>
        <v>595</v>
      </c>
      <c r="L62" s="27" t="n">
        <f aca="false">MAX(0,K62-$C$52)</f>
        <v>595</v>
      </c>
      <c r="M62" s="27" t="n">
        <f aca="false">MAX(0,L62-$C$52)</f>
        <v>595</v>
      </c>
      <c r="N62" s="27" t="n">
        <f aca="false">MAX(0,M62-$C$52)</f>
        <v>595</v>
      </c>
    </row>
    <row r="63" customFormat="false" ht="15" hidden="false" customHeight="false" outlineLevel="0" collapsed="false">
      <c r="B63" s="9" t="s">
        <v>73</v>
      </c>
      <c r="E63" s="25" t="n">
        <f aca="false">(E62+D62)/2</f>
        <v>595</v>
      </c>
      <c r="F63" s="25" t="n">
        <f aca="false">(F62+E62)/2</f>
        <v>595</v>
      </c>
      <c r="G63" s="25" t="n">
        <f aca="false">(G62+F62)/2</f>
        <v>595</v>
      </c>
      <c r="H63" s="25" t="n">
        <f aca="false">(H62+G62)/2</f>
        <v>595</v>
      </c>
      <c r="I63" s="25" t="n">
        <f aca="false">(I62+H62)/2</f>
        <v>595</v>
      </c>
      <c r="J63" s="25" t="n">
        <f aca="false">(J62+I62)/2</f>
        <v>595</v>
      </c>
      <c r="K63" s="25" t="n">
        <f aca="false">(K62+J62)/2</f>
        <v>595</v>
      </c>
      <c r="L63" s="25" t="n">
        <f aca="false">(L62+K62)/2</f>
        <v>595</v>
      </c>
      <c r="M63" s="25" t="n">
        <f aca="false">(M62+L62)/2</f>
        <v>595</v>
      </c>
      <c r="N63" s="25" t="n">
        <f aca="false">(N62+M62)/2</f>
        <v>595</v>
      </c>
    </row>
    <row r="64" customFormat="false" ht="15" hidden="false" customHeight="false" outlineLevel="0" collapsed="false">
      <c r="B64" s="9" t="s">
        <v>74</v>
      </c>
      <c r="E64" s="28" t="n">
        <f aca="false">Inputs!$C$6*Inputs!$C$8*12*(1+Inputs!$C$9)^(E$55-1)/1000000</f>
        <v>20.91</v>
      </c>
      <c r="F64" s="28" t="n">
        <f aca="false">Inputs!$C$6*Inputs!$C$8*12*(1+Inputs!$C$9)^(F$55-1)/1000000</f>
        <v>21.43275</v>
      </c>
      <c r="G64" s="28" t="n">
        <f aca="false">Inputs!$C$6*Inputs!$C$8*12*(1+Inputs!$C$9)^(G$55-1)/1000000</f>
        <v>21.96856875</v>
      </c>
      <c r="H64" s="28" t="n">
        <f aca="false">Inputs!$C$6*Inputs!$C$8*12*(1+Inputs!$C$9)^(H$55-1)/1000000</f>
        <v>22.51778296875</v>
      </c>
      <c r="I64" s="28" t="n">
        <f aca="false">Inputs!$C$6*Inputs!$C$8*12*(1+Inputs!$C$9)^(I$55-1)/1000000</f>
        <v>23.0807275429687</v>
      </c>
      <c r="J64" s="28" t="n">
        <f aca="false">Inputs!$C$6*Inputs!$C$8*12*(1+Inputs!$C$9)^(J$55-1)/1000000</f>
        <v>23.657745731543</v>
      </c>
      <c r="K64" s="28" t="n">
        <f aca="false">Inputs!$C$6*Inputs!$C$8*12*(1+Inputs!$C$9)^(K$55-1)/1000000</f>
        <v>24.2491893748315</v>
      </c>
      <c r="L64" s="28" t="n">
        <f aca="false">Inputs!$C$6*Inputs!$C$8*12*(1+Inputs!$C$9)^(L$55-1)/1000000</f>
        <v>24.8554191092023</v>
      </c>
      <c r="M64" s="28" t="n">
        <f aca="false">Inputs!$C$6*Inputs!$C$8*12*(1+Inputs!$C$9)^(M$55-1)/1000000</f>
        <v>25.4768045869324</v>
      </c>
      <c r="N64" s="28" t="n">
        <f aca="false">Inputs!$C$6*Inputs!$C$8*12*(1+Inputs!$C$9)^(N$55-1)/1000000</f>
        <v>26.1137247016057</v>
      </c>
    </row>
    <row r="65" customFormat="false" ht="15" hidden="false" customHeight="false" outlineLevel="0" collapsed="false">
      <c r="B65" s="9" t="s">
        <v>75</v>
      </c>
      <c r="E65" s="28" t="n">
        <f aca="false">E60*Inputs!$C$10*12*(1+Inputs!$C$11)^(E$55-1)/1000000</f>
        <v>8.24964</v>
      </c>
      <c r="F65" s="28" t="n">
        <f aca="false">F60*Inputs!$C$10*12*(1+Inputs!$C$11)^(F$55-1)/1000000</f>
        <v>8.963722908</v>
      </c>
      <c r="G65" s="28" t="n">
        <f aca="false">G60*Inputs!$C$10*12*(1+Inputs!$C$11)^(G$55-1)/1000000</f>
        <v>9.7084201992876</v>
      </c>
      <c r="H65" s="28" t="n">
        <f aca="false">H60*Inputs!$C$10*12*(1+Inputs!$C$11)^(H$55-1)/1000000</f>
        <v>10.4848313857136</v>
      </c>
      <c r="I65" s="28" t="n">
        <f aca="false">I60*Inputs!$C$10*12*(1+Inputs!$C$11)^(I$55-1)/1000000</f>
        <v>11.2940925317671</v>
      </c>
      <c r="J65" s="28" t="n">
        <f aca="false">J60*Inputs!$C$10*12*(1+Inputs!$C$11)^(J$55-1)/1000000</f>
        <v>12.1373774214306</v>
      </c>
      <c r="K65" s="28" t="n">
        <f aca="false">K60*Inputs!$C$10*12*(1+Inputs!$C$11)^(K$55-1)/1000000</f>
        <v>13.015898761424</v>
      </c>
      <c r="L65" s="28" t="n">
        <f aca="false">L60*Inputs!$C$10*12*(1+Inputs!$C$11)^(L$55-1)/1000000</f>
        <v>13.9309094219591</v>
      </c>
      <c r="M65" s="28" t="n">
        <f aca="false">M60*Inputs!$C$10*12*(1+Inputs!$C$11)^(M$55-1)/1000000</f>
        <v>14.8837037161548</v>
      </c>
      <c r="N65" s="28" t="n">
        <f aca="false">N60*Inputs!$C$10*12*(1+Inputs!$C$11)^(N$55-1)/1000000</f>
        <v>15.8756187193036</v>
      </c>
    </row>
    <row r="66" customFormat="false" ht="15" hidden="false" customHeight="false" outlineLevel="0" collapsed="false">
      <c r="B66" s="9" t="s">
        <v>76</v>
      </c>
      <c r="E66" s="28" t="n">
        <f aca="false">E64+E65</f>
        <v>29.15964</v>
      </c>
      <c r="F66" s="28" t="n">
        <f aca="false">F64+F65</f>
        <v>30.396472908</v>
      </c>
      <c r="G66" s="28" t="n">
        <f aca="false">G64+G65</f>
        <v>31.6769889492876</v>
      </c>
      <c r="H66" s="28" t="n">
        <f aca="false">H64+H65</f>
        <v>33.0026143544636</v>
      </c>
      <c r="I66" s="28" t="n">
        <f aca="false">I64+I65</f>
        <v>34.3748200747359</v>
      </c>
      <c r="J66" s="28" t="n">
        <f aca="false">J64+J65</f>
        <v>35.7951231529735</v>
      </c>
      <c r="K66" s="28" t="n">
        <f aca="false">K64+K65</f>
        <v>37.2650881362556</v>
      </c>
      <c r="L66" s="28" t="n">
        <f aca="false">L64+L65</f>
        <v>38.7863285311614</v>
      </c>
      <c r="M66" s="28" t="n">
        <f aca="false">M64+M65</f>
        <v>40.3605083030872</v>
      </c>
      <c r="N66" s="28" t="n">
        <f aca="false">N64+N65</f>
        <v>41.9893434209093</v>
      </c>
    </row>
    <row r="67" customFormat="false" ht="15" hidden="false" customHeight="false" outlineLevel="0" collapsed="false">
      <c r="B67" s="9" t="s">
        <v>77</v>
      </c>
      <c r="E67" s="28" t="n">
        <f aca="false">Inputs!$C$20*12*(1+Inputs!$C$21)^(E$55-1)</f>
        <v>13800</v>
      </c>
      <c r="F67" s="28" t="n">
        <f aca="false">Inputs!$C$20*12*(1+Inputs!$C$21)^(F$55-1)</f>
        <v>14214</v>
      </c>
      <c r="G67" s="28" t="n">
        <f aca="false">Inputs!$C$20*12*(1+Inputs!$C$21)^(G$55-1)</f>
        <v>14640.42</v>
      </c>
      <c r="H67" s="28" t="n">
        <f aca="false">Inputs!$C$20*12*(1+Inputs!$C$21)^(H$55-1)</f>
        <v>15079.6326</v>
      </c>
      <c r="I67" s="28" t="n">
        <f aca="false">Inputs!$C$20*12*(1+Inputs!$C$21)^(I$55-1)</f>
        <v>15532.021578</v>
      </c>
      <c r="J67" s="28" t="n">
        <f aca="false">Inputs!$C$20*12*(1+Inputs!$C$21)^(J$55-1)</f>
        <v>15997.98222534</v>
      </c>
      <c r="K67" s="28" t="n">
        <f aca="false">Inputs!$C$20*12*(1+Inputs!$C$21)^(K$55-1)</f>
        <v>16477.9216921002</v>
      </c>
      <c r="L67" s="28" t="n">
        <f aca="false">Inputs!$C$20*12*(1+Inputs!$C$21)^(L$55-1)</f>
        <v>16972.2593428632</v>
      </c>
      <c r="M67" s="28" t="n">
        <f aca="false">Inputs!$C$20*12*(1+Inputs!$C$21)^(M$55-1)</f>
        <v>17481.4271231491</v>
      </c>
      <c r="N67" s="28" t="n">
        <f aca="false">Inputs!$C$20*12*(1+Inputs!$C$21)^(N$55-1)</f>
        <v>18005.8699368436</v>
      </c>
    </row>
    <row r="68" customFormat="false" ht="15" hidden="false" customHeight="false" outlineLevel="0" collapsed="false">
      <c r="B68" s="9" t="s">
        <v>78</v>
      </c>
      <c r="E68" s="28" t="n">
        <f aca="false">E63*E67/1000000</f>
        <v>8.211</v>
      </c>
      <c r="F68" s="28" t="n">
        <f aca="false">F63*F67/1000000</f>
        <v>8.45733</v>
      </c>
      <c r="G68" s="28" t="n">
        <f aca="false">G63*G67/1000000</f>
        <v>8.7110499</v>
      </c>
      <c r="H68" s="28" t="n">
        <f aca="false">H63*H67/1000000</f>
        <v>8.972381397</v>
      </c>
      <c r="I68" s="28" t="n">
        <f aca="false">I63*I67/1000000</f>
        <v>9.24155283891</v>
      </c>
      <c r="J68" s="28" t="n">
        <f aca="false">J63*J67/1000000</f>
        <v>9.5187994240773</v>
      </c>
      <c r="K68" s="28" t="n">
        <f aca="false">K63*K67/1000000</f>
        <v>9.80436340679962</v>
      </c>
      <c r="L68" s="28" t="n">
        <f aca="false">L63*L67/1000000</f>
        <v>10.0984943090036</v>
      </c>
      <c r="M68" s="28" t="n">
        <f aca="false">M63*M67/1000000</f>
        <v>10.4014491382737</v>
      </c>
      <c r="N68" s="28" t="n">
        <f aca="false">N63*N67/1000000</f>
        <v>10.7134926124219</v>
      </c>
    </row>
    <row r="69" customFormat="false" ht="15" hidden="false" customHeight="false" outlineLevel="0" collapsed="false">
      <c r="B69" s="9" t="s">
        <v>79</v>
      </c>
      <c r="E69" s="28" t="n">
        <f aca="false">Inputs!$C$6*Inputs!$C$24*12*(1+Inputs!$C$25)^(E$55-1)/1000000</f>
        <v>3.57</v>
      </c>
      <c r="F69" s="28" t="n">
        <f aca="false">Inputs!$C$6*Inputs!$C$24*12*(1+Inputs!$C$25)^(F$55-1)/1000000</f>
        <v>3.65925</v>
      </c>
      <c r="G69" s="28" t="n">
        <f aca="false">Inputs!$C$6*Inputs!$C$24*12*(1+Inputs!$C$25)^(G$55-1)/1000000</f>
        <v>3.75073125</v>
      </c>
      <c r="H69" s="28" t="n">
        <f aca="false">Inputs!$C$6*Inputs!$C$24*12*(1+Inputs!$C$25)^(H$55-1)/1000000</f>
        <v>3.84449953125</v>
      </c>
      <c r="I69" s="28" t="n">
        <f aca="false">Inputs!$C$6*Inputs!$C$24*12*(1+Inputs!$C$25)^(I$55-1)/1000000</f>
        <v>3.94061201953125</v>
      </c>
      <c r="J69" s="28" t="n">
        <f aca="false">Inputs!$C$6*Inputs!$C$24*12*(1+Inputs!$C$25)^(J$55-1)/1000000</f>
        <v>4.03912732001953</v>
      </c>
      <c r="K69" s="28" t="n">
        <f aca="false">Inputs!$C$6*Inputs!$C$24*12*(1+Inputs!$C$25)^(K$55-1)/1000000</f>
        <v>4.14010550302002</v>
      </c>
      <c r="L69" s="28" t="n">
        <f aca="false">Inputs!$C$6*Inputs!$C$24*12*(1+Inputs!$C$25)^(L$55-1)/1000000</f>
        <v>4.24360814059552</v>
      </c>
      <c r="M69" s="28" t="n">
        <f aca="false">Inputs!$C$6*Inputs!$C$24*12*(1+Inputs!$C$25)^(M$55-1)/1000000</f>
        <v>4.34969834411041</v>
      </c>
      <c r="N69" s="28" t="n">
        <f aca="false">Inputs!$C$6*Inputs!$C$24*12*(1+Inputs!$C$25)^(N$55-1)/1000000</f>
        <v>4.45844080271317</v>
      </c>
    </row>
    <row r="70" customFormat="false" ht="15" hidden="false" customHeight="false" outlineLevel="0" collapsed="false">
      <c r="B70" s="9" t="s">
        <v>80</v>
      </c>
      <c r="E70" s="28" t="n">
        <f aca="false">Inputs!$C$26*(1+Inputs!$C$27)^(E$55-1)</f>
        <v>4.5</v>
      </c>
      <c r="F70" s="28" t="n">
        <f aca="false">Inputs!$C$26*(1+Inputs!$C$27)^(F$55-1)</f>
        <v>4.635</v>
      </c>
      <c r="G70" s="28" t="n">
        <f aca="false">Inputs!$C$26*(1+Inputs!$C$27)^(G$55-1)</f>
        <v>4.77405</v>
      </c>
      <c r="H70" s="28" t="n">
        <f aca="false">Inputs!$C$26*(1+Inputs!$C$27)^(H$55-1)</f>
        <v>4.9172715</v>
      </c>
      <c r="I70" s="28" t="n">
        <f aca="false">Inputs!$C$26*(1+Inputs!$C$27)^(I$55-1)</f>
        <v>5.064789645</v>
      </c>
      <c r="J70" s="28" t="n">
        <f aca="false">Inputs!$C$26*(1+Inputs!$C$27)^(J$55-1)</f>
        <v>5.21673333435</v>
      </c>
      <c r="K70" s="28" t="n">
        <f aca="false">Inputs!$C$26*(1+Inputs!$C$27)^(K$55-1)</f>
        <v>5.3732353343805</v>
      </c>
      <c r="L70" s="28" t="n">
        <f aca="false">Inputs!$C$26*(1+Inputs!$C$27)^(L$55-1)</f>
        <v>5.53443239441192</v>
      </c>
      <c r="M70" s="28" t="n">
        <f aca="false">Inputs!$C$26*(1+Inputs!$C$27)^(M$55-1)</f>
        <v>5.70046536624427</v>
      </c>
      <c r="N70" s="28" t="n">
        <f aca="false">Inputs!$C$26*(1+Inputs!$C$27)^(N$55-1)</f>
        <v>5.8714793272316</v>
      </c>
    </row>
    <row r="71" customFormat="false" ht="15" hidden="false" customHeight="false" outlineLevel="0" collapsed="false">
      <c r="B71" s="29" t="s">
        <v>81</v>
      </c>
      <c r="E71" s="30" t="n">
        <f aca="false">E66-E68-E69-E70</f>
        <v>12.87864</v>
      </c>
      <c r="F71" s="30" t="n">
        <f aca="false">F66-F68-F69-F70</f>
        <v>13.644892908</v>
      </c>
      <c r="G71" s="30" t="n">
        <f aca="false">G66-G68-G69-G70</f>
        <v>14.4411577992876</v>
      </c>
      <c r="H71" s="30" t="n">
        <f aca="false">H66-H68-H69-H70</f>
        <v>15.2684619262136</v>
      </c>
      <c r="I71" s="30" t="n">
        <f aca="false">I66-I68-I69-I70</f>
        <v>16.1278655712946</v>
      </c>
      <c r="J71" s="30" t="n">
        <f aca="false">J66-J68-J69-J70</f>
        <v>17.0204630745267</v>
      </c>
      <c r="K71" s="30" t="n">
        <f aca="false">K66-K68-K69-K70</f>
        <v>17.9473838920554</v>
      </c>
      <c r="L71" s="30" t="n">
        <f aca="false">L66-L68-L69-L70</f>
        <v>18.9097936871504</v>
      </c>
      <c r="M71" s="30" t="n">
        <f aca="false">M66-M68-M69-M70</f>
        <v>19.9088954544588</v>
      </c>
      <c r="N71" s="30" t="n">
        <f aca="false">N66-N68-N69-N70</f>
        <v>20.9459306785426</v>
      </c>
    </row>
    <row r="72" customFormat="false" ht="15" hidden="false" customHeight="false" outlineLevel="0" collapsed="false">
      <c r="B72" s="9" t="s">
        <v>82</v>
      </c>
      <c r="E72" s="28" t="n">
        <f aca="false">Inputs!$C$6*Inputs!$C$28*(1+Inputs!$C$29)^(E$55-1)/1000000</f>
        <v>1.02</v>
      </c>
      <c r="F72" s="28" t="n">
        <f aca="false">Inputs!$C$6*Inputs!$C$28*(1+Inputs!$C$29)^(F$55-1)/1000000</f>
        <v>1.0506</v>
      </c>
      <c r="G72" s="28" t="n">
        <f aca="false">Inputs!$C$6*Inputs!$C$28*(1+Inputs!$C$29)^(G$55-1)/1000000</f>
        <v>1.082118</v>
      </c>
      <c r="H72" s="28" t="n">
        <f aca="false">Inputs!$C$6*Inputs!$C$28*(1+Inputs!$C$29)^(H$55-1)/1000000</f>
        <v>1.11458154</v>
      </c>
      <c r="I72" s="28" t="n">
        <f aca="false">Inputs!$C$6*Inputs!$C$28*(1+Inputs!$C$29)^(I$55-1)/1000000</f>
        <v>1.1480189862</v>
      </c>
      <c r="J72" s="28" t="n">
        <f aca="false">Inputs!$C$6*Inputs!$C$28*(1+Inputs!$C$29)^(J$55-1)/1000000</f>
        <v>1.182459555786</v>
      </c>
      <c r="K72" s="28" t="n">
        <f aca="false">Inputs!$C$6*Inputs!$C$28*(1+Inputs!$C$29)^(K$55-1)/1000000</f>
        <v>1.21793334245958</v>
      </c>
      <c r="L72" s="28" t="n">
        <f aca="false">Inputs!$C$6*Inputs!$C$28*(1+Inputs!$C$29)^(L$55-1)/1000000</f>
        <v>1.25447134273337</v>
      </c>
      <c r="M72" s="28" t="n">
        <f aca="false">Inputs!$C$6*Inputs!$C$28*(1+Inputs!$C$29)^(M$55-1)/1000000</f>
        <v>1.29210548301537</v>
      </c>
      <c r="N72" s="28" t="n">
        <f aca="false">Inputs!$C$6*Inputs!$C$28*(1+Inputs!$C$29)^(N$55-1)/1000000</f>
        <v>1.33086864750583</v>
      </c>
    </row>
    <row r="73" customFormat="false" ht="15" hidden="false" customHeight="false" outlineLevel="0" collapsed="false">
      <c r="B73" s="9" t="s">
        <v>83</v>
      </c>
      <c r="E73" s="28" t="n">
        <f aca="false">E56*Inputs!$C$30*(1+Inputs!$C$29)^(E$55-1)/1000000</f>
        <v>0.3825</v>
      </c>
      <c r="F73" s="28" t="n">
        <f aca="false">F56*Inputs!$C$30*(1+Inputs!$C$29)^(F$55-1)/1000000</f>
        <v>0.393975</v>
      </c>
      <c r="G73" s="28" t="n">
        <f aca="false">G56*Inputs!$C$30*(1+Inputs!$C$29)^(G$55-1)/1000000</f>
        <v>0.40579425</v>
      </c>
      <c r="H73" s="28" t="n">
        <f aca="false">H56*Inputs!$C$30*(1+Inputs!$C$29)^(H$55-1)/1000000</f>
        <v>0.4179680775</v>
      </c>
      <c r="I73" s="28" t="n">
        <f aca="false">I56*Inputs!$C$30*(1+Inputs!$C$29)^(I$55-1)/1000000</f>
        <v>0.430507119825</v>
      </c>
      <c r="J73" s="28" t="n">
        <f aca="false">J56*Inputs!$C$30*(1+Inputs!$C$29)^(J$55-1)/1000000</f>
        <v>0.44342233341975</v>
      </c>
      <c r="K73" s="28" t="n">
        <f aca="false">K56*Inputs!$C$30*(1+Inputs!$C$29)^(K$55-1)/1000000</f>
        <v>0.456725003422343</v>
      </c>
      <c r="L73" s="28" t="n">
        <f aca="false">L56*Inputs!$C$30*(1+Inputs!$C$29)^(L$55-1)/1000000</f>
        <v>0.470426753525013</v>
      </c>
      <c r="M73" s="28" t="n">
        <f aca="false">M56*Inputs!$C$30*(1+Inputs!$C$29)^(M$55-1)/1000000</f>
        <v>0.484539556130763</v>
      </c>
      <c r="N73" s="28" t="n">
        <f aca="false">N56*Inputs!$C$30*(1+Inputs!$C$29)^(N$55-1)/1000000</f>
        <v>0.499075742814686</v>
      </c>
    </row>
    <row r="74" customFormat="false" ht="15" hidden="false" customHeight="false" outlineLevel="0" collapsed="false">
      <c r="B74" s="9" t="s">
        <v>84</v>
      </c>
      <c r="E74" s="28" t="n">
        <f aca="false">(D62-E62)*E67*Inputs!$C$23/1000000</f>
        <v>0</v>
      </c>
      <c r="F74" s="28" t="n">
        <f aca="false">(E62-F62)*F67*Inputs!$C$23/1000000</f>
        <v>0</v>
      </c>
      <c r="G74" s="28" t="n">
        <f aca="false">(F62-G62)*G67*Inputs!$C$23/1000000</f>
        <v>0</v>
      </c>
      <c r="H74" s="28" t="n">
        <f aca="false">(G62-H62)*H67*Inputs!$C$23/1000000</f>
        <v>0</v>
      </c>
      <c r="I74" s="28" t="n">
        <f aca="false">(H62-I62)*I67*Inputs!$C$23/1000000</f>
        <v>0</v>
      </c>
      <c r="J74" s="28" t="n">
        <f aca="false">(I62-J62)*J67*Inputs!$C$23/1000000</f>
        <v>0</v>
      </c>
      <c r="K74" s="28" t="n">
        <f aca="false">(J62-K62)*K67*Inputs!$C$23/1000000</f>
        <v>0</v>
      </c>
      <c r="L74" s="28" t="n">
        <f aca="false">(K62-L62)*L67*Inputs!$C$23/1000000</f>
        <v>0</v>
      </c>
      <c r="M74" s="28" t="n">
        <f aca="false">(L62-M62)*M67*Inputs!$C$23/1000000</f>
        <v>0</v>
      </c>
      <c r="N74" s="28" t="n">
        <f aca="false">(M62-N62)*N67*Inputs!$C$23/1000000</f>
        <v>0</v>
      </c>
    </row>
    <row r="75" customFormat="false" ht="15" hidden="false" customHeight="false" outlineLevel="0" collapsed="false">
      <c r="B75" s="29" t="s">
        <v>85</v>
      </c>
      <c r="E75" s="30" t="n">
        <f aca="false">E71-E72-E73-E74</f>
        <v>11.47614</v>
      </c>
      <c r="F75" s="30" t="n">
        <f aca="false">F71-F72-F73-F74</f>
        <v>12.200317908</v>
      </c>
      <c r="G75" s="30" t="n">
        <f aca="false">G71-G72-G73-G74</f>
        <v>12.9532455492876</v>
      </c>
      <c r="H75" s="30" t="n">
        <f aca="false">H71-H72-H73-H74</f>
        <v>13.7359123087136</v>
      </c>
      <c r="I75" s="30" t="n">
        <f aca="false">I71-I72-I73-I74</f>
        <v>14.5493394652696</v>
      </c>
      <c r="J75" s="30" t="n">
        <f aca="false">J71-J72-J73-J74</f>
        <v>15.394581185321</v>
      </c>
      <c r="K75" s="30" t="n">
        <f aca="false">K71-K72-K73-K74</f>
        <v>16.2727255461735</v>
      </c>
      <c r="L75" s="30" t="n">
        <f aca="false">L71-L72-L73-L74</f>
        <v>17.184895590892</v>
      </c>
      <c r="M75" s="30" t="n">
        <f aca="false">M71-M72-M73-M74</f>
        <v>18.1322504153126</v>
      </c>
      <c r="N75" s="30" t="n">
        <f aca="false">N71-N72-N73-N74</f>
        <v>19.1159862882221</v>
      </c>
    </row>
    <row r="76" customFormat="false" ht="15" hidden="false" customHeight="false" outlineLevel="0" collapsed="false">
      <c r="B76" s="9" t="s">
        <v>86</v>
      </c>
      <c r="C76" s="28" t="n">
        <f aca="false">Inputs!$C$33*(1+Inputs!$C$34)</f>
        <v>287.64</v>
      </c>
    </row>
    <row r="77" customFormat="false" ht="15" hidden="false" customHeight="false" outlineLevel="0" collapsed="false">
      <c r="B77" s="29" t="s">
        <v>87</v>
      </c>
      <c r="C77" s="30" t="n">
        <f aca="false">N71*$C$54*(1-Inputs!$C$36)</f>
        <v>433.266576085653</v>
      </c>
    </row>
    <row r="78" customFormat="false" ht="15" hidden="false" customHeight="false" outlineLevel="0" collapsed="false">
      <c r="B78" s="9" t="s">
        <v>88</v>
      </c>
      <c r="C78" s="28" t="n">
        <f aca="false">Inputs!$C$37*E71</f>
        <v>90.15048</v>
      </c>
    </row>
    <row r="79" customFormat="false" ht="15" hidden="false" customHeight="false" outlineLevel="0" collapsed="false">
      <c r="B79" s="9" t="s">
        <v>89</v>
      </c>
      <c r="C79" s="28" t="n">
        <f aca="false">Inputs!$C$40*INDEX(E71:N71,Inputs!$C$39)</f>
        <v>125.631687244388</v>
      </c>
    </row>
    <row r="80" customFormat="false" ht="15" hidden="false" customHeight="false" outlineLevel="0" collapsed="false">
      <c r="B80" s="29" t="s">
        <v>90</v>
      </c>
      <c r="D80" s="30" t="n">
        <f aca="false">-$C$76</f>
        <v>-287.64</v>
      </c>
      <c r="E80" s="30" t="n">
        <f aca="false">E75</f>
        <v>11.47614</v>
      </c>
      <c r="F80" s="30" t="n">
        <f aca="false">F75</f>
        <v>12.200317908</v>
      </c>
      <c r="G80" s="30" t="n">
        <f aca="false">G75</f>
        <v>12.9532455492876</v>
      </c>
      <c r="H80" s="30" t="n">
        <f aca="false">H75</f>
        <v>13.7359123087136</v>
      </c>
      <c r="I80" s="30" t="n">
        <f aca="false">I75</f>
        <v>14.5493394652696</v>
      </c>
      <c r="J80" s="30" t="n">
        <f aca="false">J75</f>
        <v>15.394581185321</v>
      </c>
      <c r="K80" s="30" t="n">
        <f aca="false">K75</f>
        <v>16.2727255461735</v>
      </c>
      <c r="L80" s="30" t="n">
        <f aca="false">L75</f>
        <v>17.184895590892</v>
      </c>
      <c r="M80" s="30" t="n">
        <f aca="false">M75</f>
        <v>18.1322504153126</v>
      </c>
      <c r="N80" s="30" t="n">
        <f aca="false">N75+$C$77</f>
        <v>452.382562373875</v>
      </c>
    </row>
    <row r="82" customFormat="false" ht="15" hidden="false" customHeight="false" outlineLevel="0" collapsed="false">
      <c r="B82" s="23" t="s">
        <v>91</v>
      </c>
      <c r="C82" s="24"/>
      <c r="D82" s="24" t="n">
        <v>0</v>
      </c>
      <c r="E82" s="24" t="n">
        <v>1</v>
      </c>
      <c r="F82" s="24" t="n">
        <v>2</v>
      </c>
      <c r="G82" s="24" t="n">
        <v>3</v>
      </c>
      <c r="H82" s="24" t="n">
        <v>4</v>
      </c>
      <c r="I82" s="24" t="n">
        <v>5</v>
      </c>
      <c r="J82" s="24" t="n">
        <v>6</v>
      </c>
      <c r="K82" s="24" t="n">
        <v>7</v>
      </c>
      <c r="L82" s="24" t="n">
        <v>8</v>
      </c>
      <c r="M82" s="24" t="n">
        <v>9</v>
      </c>
      <c r="N82" s="24" t="n">
        <v>10</v>
      </c>
    </row>
    <row r="83" customFormat="false" ht="15" hidden="false" customHeight="false" outlineLevel="0" collapsed="false">
      <c r="B83" s="9" t="s">
        <v>92</v>
      </c>
      <c r="E83" s="28" t="n">
        <f aca="false">IF(E$82&lt;Inputs!$C$39,$C$78,$C$79)</f>
        <v>90.15048</v>
      </c>
      <c r="F83" s="28" t="n">
        <f aca="false">IF(F$82&lt;Inputs!$C$39,$C$78,$C$79)</f>
        <v>90.15048</v>
      </c>
      <c r="G83" s="28" t="n">
        <f aca="false">IF(G$82&lt;Inputs!$C$39,$C$78,$C$79)</f>
        <v>90.15048</v>
      </c>
      <c r="H83" s="28" t="n">
        <f aca="false">IF(H$82&lt;Inputs!$C$39,$C$78,$C$79)</f>
        <v>90.15048</v>
      </c>
      <c r="I83" s="28" t="n">
        <f aca="false">IF(I$82&lt;Inputs!$C$39,$C$78,$C$79)</f>
        <v>90.15048</v>
      </c>
      <c r="J83" s="28" t="n">
        <f aca="false">IF(J$82&lt;Inputs!$C$39,$C$78,$C$79)</f>
        <v>90.15048</v>
      </c>
      <c r="K83" s="28" t="n">
        <f aca="false">IF(K$82&lt;Inputs!$C$39,$C$78,$C$79)</f>
        <v>125.631687244388</v>
      </c>
      <c r="L83" s="28" t="n">
        <f aca="false">IF(L$82&lt;Inputs!$C$39,$C$78,$C$79)</f>
        <v>125.631687244388</v>
      </c>
      <c r="M83" s="28" t="n">
        <f aca="false">IF(M$82&lt;Inputs!$C$39,$C$78,$C$79)</f>
        <v>125.631687244388</v>
      </c>
      <c r="N83" s="28" t="n">
        <f aca="false">IF(N$82&lt;Inputs!$C$39,$C$78,$C$79)</f>
        <v>125.631687244388</v>
      </c>
    </row>
    <row r="84" customFormat="false" ht="15" hidden="false" customHeight="false" outlineLevel="0" collapsed="false">
      <c r="B84" s="9" t="s">
        <v>93</v>
      </c>
      <c r="E84" s="28" t="n">
        <f aca="false">IF(E$82&lt;=Inputs!$C$39,$C$78*Inputs!$C$38,$C$79*Inputs!$C$41)</f>
        <v>5.634405</v>
      </c>
      <c r="F84" s="28" t="n">
        <f aca="false">IF(F$82&lt;=Inputs!$C$39,$C$78*Inputs!$C$38,$C$79*Inputs!$C$41)</f>
        <v>5.634405</v>
      </c>
      <c r="G84" s="28" t="n">
        <f aca="false">IF(G$82&lt;=Inputs!$C$39,$C$78*Inputs!$C$38,$C$79*Inputs!$C$41)</f>
        <v>5.634405</v>
      </c>
      <c r="H84" s="28" t="n">
        <f aca="false">IF(H$82&lt;=Inputs!$C$39,$C$78*Inputs!$C$38,$C$79*Inputs!$C$41)</f>
        <v>5.634405</v>
      </c>
      <c r="I84" s="28" t="n">
        <f aca="false">IF(I$82&lt;=Inputs!$C$39,$C$78*Inputs!$C$38,$C$79*Inputs!$C$41)</f>
        <v>5.634405</v>
      </c>
      <c r="J84" s="28" t="n">
        <f aca="false">IF(J$82&lt;=Inputs!$C$39,$C$78*Inputs!$C$38,$C$79*Inputs!$C$41)</f>
        <v>5.634405</v>
      </c>
      <c r="K84" s="28" t="n">
        <f aca="false">IF(K$82&lt;=Inputs!$C$39,$C$78*Inputs!$C$38,$C$79*Inputs!$C$41)</f>
        <v>5.634405</v>
      </c>
      <c r="L84" s="28" t="n">
        <f aca="false">IF(L$82&lt;=Inputs!$C$39,$C$78*Inputs!$C$38,$C$79*Inputs!$C$41)</f>
        <v>8.16605967088522</v>
      </c>
      <c r="M84" s="28" t="n">
        <f aca="false">IF(M$82&lt;=Inputs!$C$39,$C$78*Inputs!$C$38,$C$79*Inputs!$C$41)</f>
        <v>8.16605967088522</v>
      </c>
      <c r="N84" s="28" t="n">
        <f aca="false">IF(N$82&lt;=Inputs!$C$39,$C$78*Inputs!$C$38,$C$79*Inputs!$C$41)</f>
        <v>8.16605967088522</v>
      </c>
    </row>
    <row r="85" customFormat="false" ht="15" hidden="false" customHeight="false" outlineLevel="0" collapsed="false">
      <c r="B85" s="9" t="s">
        <v>94</v>
      </c>
      <c r="E85" s="26" t="n">
        <f aca="false">E83/E71</f>
        <v>7</v>
      </c>
      <c r="F85" s="26" t="n">
        <f aca="false">F83/F71</f>
        <v>6.60690271501836</v>
      </c>
      <c r="G85" s="26" t="n">
        <f aca="false">G83/G71</f>
        <v>6.2426075009337</v>
      </c>
      <c r="H85" s="26" t="n">
        <f aca="false">H83/H71</f>
        <v>5.90435896134539</v>
      </c>
      <c r="I85" s="26" t="n">
        <f aca="false">I83/I71</f>
        <v>5.5897340910663</v>
      </c>
      <c r="J85" s="26" t="n">
        <f aca="false">J83/J71</f>
        <v>5.29659384737432</v>
      </c>
      <c r="K85" s="26" t="n">
        <f aca="false">K83/K71</f>
        <v>7</v>
      </c>
      <c r="L85" s="26" t="n">
        <f aca="false">L83/L71</f>
        <v>6.64373653794845</v>
      </c>
      <c r="M85" s="26" t="n">
        <f aca="false">M83/M71</f>
        <v>6.31032934658622</v>
      </c>
      <c r="N85" s="26" t="n">
        <f aca="false">N83/N71</f>
        <v>5.99790427899619</v>
      </c>
    </row>
    <row r="86" customFormat="false" ht="15" hidden="false" customHeight="false" outlineLevel="0" collapsed="false">
      <c r="B86" s="9" t="s">
        <v>95</v>
      </c>
      <c r="E86" s="26" t="n">
        <f aca="false">E71/E84</f>
        <v>2.28571428571429</v>
      </c>
      <c r="F86" s="26" t="n">
        <f aca="false">F71/F84</f>
        <v>2.42170964068078</v>
      </c>
      <c r="G86" s="26" t="n">
        <f aca="false">G71/G84</f>
        <v>2.56303155333839</v>
      </c>
      <c r="H86" s="26" t="n">
        <f aca="false">H71/H84</f>
        <v>2.70986234149188</v>
      </c>
      <c r="I86" s="26" t="n">
        <f aca="false">I71/I84</f>
        <v>2.86239018517388</v>
      </c>
      <c r="J86" s="26" t="n">
        <f aca="false">J71/J84</f>
        <v>3.02080930897348</v>
      </c>
      <c r="K86" s="26" t="n">
        <f aca="false">K71/K84</f>
        <v>3.18532016993018</v>
      </c>
      <c r="L86" s="26" t="n">
        <f aca="false">L71/L84</f>
        <v>2.31565705484252</v>
      </c>
      <c r="M86" s="26" t="n">
        <f aca="false">M71/M84</f>
        <v>2.43800514040336</v>
      </c>
      <c r="N86" s="26" t="n">
        <f aca="false">N71/N84</f>
        <v>2.56499848430228</v>
      </c>
    </row>
    <row r="87" customFormat="false" ht="15" hidden="false" customHeight="false" outlineLevel="0" collapsed="false">
      <c r="B87" s="9" t="s">
        <v>96</v>
      </c>
      <c r="D87" s="28" t="n">
        <f aca="false">$C$78*(1-Inputs!$C$42)</f>
        <v>89.2489752</v>
      </c>
      <c r="E87" s="28" t="n">
        <f aca="false">-E84+IF(E$82=Inputs!$C$39,$C$79*(1-Inputs!$C$42)-$C$78,0)</f>
        <v>-5.634405</v>
      </c>
      <c r="F87" s="28" t="n">
        <f aca="false">-F84+IF(F$82=Inputs!$C$39,$C$79*(1-Inputs!$C$42)-$C$78,0)</f>
        <v>-5.634405</v>
      </c>
      <c r="G87" s="28" t="n">
        <f aca="false">-G84+IF(G$82=Inputs!$C$39,$C$79*(1-Inputs!$C$42)-$C$78,0)</f>
        <v>-5.634405</v>
      </c>
      <c r="H87" s="28" t="n">
        <f aca="false">-H84+IF(H$82=Inputs!$C$39,$C$79*(1-Inputs!$C$42)-$C$78,0)</f>
        <v>-5.634405</v>
      </c>
      <c r="I87" s="28" t="n">
        <f aca="false">-I84+IF(I$82=Inputs!$C$39,$C$79*(1-Inputs!$C$42)-$C$78,0)</f>
        <v>-5.634405</v>
      </c>
      <c r="J87" s="28" t="n">
        <f aca="false">-J84+IF(J$82=Inputs!$C$39,$C$79*(1-Inputs!$C$42)-$C$78,0)</f>
        <v>-5.634405</v>
      </c>
      <c r="K87" s="28" t="n">
        <f aca="false">-K84+IF(K$82=Inputs!$C$39,$C$79*(1-Inputs!$C$42)-$C$78,0)</f>
        <v>28.5904853719442</v>
      </c>
      <c r="L87" s="28" t="n">
        <f aca="false">-L84+IF(L$82=Inputs!$C$39,$C$79*(1-Inputs!$C$42)-$C$78,0)</f>
        <v>-8.16605967088522</v>
      </c>
      <c r="M87" s="28" t="n">
        <f aca="false">-M84+IF(M$82=Inputs!$C$39,$C$79*(1-Inputs!$C$42)-$C$78,0)</f>
        <v>-8.16605967088522</v>
      </c>
      <c r="N87" s="28" t="n">
        <f aca="false">-N84+IF(N$82=Inputs!$C$39,$C$79*(1-Inputs!$C$42)-$C$78,0)-$C$79</f>
        <v>-133.797746915273</v>
      </c>
    </row>
    <row r="88" customFormat="false" ht="15" hidden="false" customHeight="false" outlineLevel="0" collapsed="false">
      <c r="B88" s="29" t="s">
        <v>97</v>
      </c>
      <c r="D88" s="30" t="n">
        <f aca="false">D80+D87</f>
        <v>-198.3910248</v>
      </c>
      <c r="E88" s="30" t="n">
        <f aca="false">E80+E87</f>
        <v>5.841735</v>
      </c>
      <c r="F88" s="30" t="n">
        <f aca="false">F80+F87</f>
        <v>6.565912908</v>
      </c>
      <c r="G88" s="30" t="n">
        <f aca="false">G80+G87</f>
        <v>7.3188405492876</v>
      </c>
      <c r="H88" s="30" t="n">
        <f aca="false">H80+H87</f>
        <v>8.10150730871357</v>
      </c>
      <c r="I88" s="30" t="n">
        <f aca="false">I80+I87</f>
        <v>8.91493446526962</v>
      </c>
      <c r="J88" s="30" t="n">
        <f aca="false">J80+J87</f>
        <v>9.76017618532096</v>
      </c>
      <c r="K88" s="30" t="n">
        <f aca="false">K80+K87</f>
        <v>44.8632109181177</v>
      </c>
      <c r="L88" s="30" t="n">
        <f aca="false">L80+L87</f>
        <v>9.01883592000679</v>
      </c>
      <c r="M88" s="30" t="n">
        <f aca="false">M80+M87</f>
        <v>9.9661907444274</v>
      </c>
      <c r="N88" s="30" t="n">
        <f aca="false">N80+N87</f>
        <v>318.584815458602</v>
      </c>
    </row>
    <row r="89" customFormat="false" ht="15" hidden="false" customHeight="false" outlineLevel="0" collapsed="false">
      <c r="B89" s="9" t="s">
        <v>98</v>
      </c>
      <c r="C89" s="28" t="n">
        <f aca="false">-D88</f>
        <v>198.3910248</v>
      </c>
    </row>
    <row r="90" customFormat="false" ht="15" hidden="false" customHeight="false" outlineLevel="0" collapsed="false">
      <c r="B90" s="9" t="s">
        <v>99</v>
      </c>
      <c r="C90" s="31" t="n">
        <f aca="false">IRR(D80:N80,0.08)</f>
        <v>0.0847267791057047</v>
      </c>
    </row>
    <row r="91" customFormat="false" ht="15" hidden="false" customHeight="false" outlineLevel="0" collapsed="false">
      <c r="B91" s="29" t="s">
        <v>100</v>
      </c>
      <c r="C91" s="32" t="n">
        <f aca="false">IRR(D88:N88,0.08)</f>
        <v>0.0923968738134912</v>
      </c>
    </row>
    <row r="92" customFormat="false" ht="15" hidden="false" customHeight="false" outlineLevel="0" collapsed="false">
      <c r="B92" s="9" t="s">
        <v>101</v>
      </c>
      <c r="C92" s="22" t="n">
        <f aca="false">SUMIF(D88:N88,"&gt;0")/-SUMIF(D88:N88,"&lt;0")</f>
        <v>2.16207441788337</v>
      </c>
    </row>
    <row r="93" customFormat="false" ht="15" hidden="false" customHeight="false" outlineLevel="0" collapsed="false">
      <c r="B93" s="9" t="s">
        <v>102</v>
      </c>
      <c r="C93" s="33" t="n">
        <f aca="false">Inputs!$C$33/E71</f>
        <v>21.8967220141257</v>
      </c>
    </row>
    <row r="95" customFormat="false" ht="15" hidden="false" customHeight="false" outlineLevel="0" collapsed="false">
      <c r="B95" s="7" t="s">
        <v>113</v>
      </c>
      <c r="C95" s="8"/>
      <c r="D95" s="8"/>
      <c r="E95" s="8"/>
      <c r="F95" s="8"/>
      <c r="G95" s="8"/>
      <c r="H95" s="8"/>
      <c r="I95" s="8"/>
      <c r="J95" s="8"/>
      <c r="K95" s="8"/>
      <c r="L95" s="8"/>
      <c r="M95" s="8"/>
      <c r="N95" s="8"/>
    </row>
    <row r="96" customFormat="false" ht="15" hidden="false" customHeight="false" outlineLevel="0" collapsed="false">
      <c r="B96" s="9" t="s">
        <v>23</v>
      </c>
      <c r="C96" s="20" t="n">
        <f aca="false">Inputs!$C$12</f>
        <v>0.03</v>
      </c>
    </row>
    <row r="97" customFormat="false" ht="15" hidden="false" customHeight="false" outlineLevel="0" collapsed="false">
      <c r="B97" s="9" t="s">
        <v>34</v>
      </c>
      <c r="C97" s="21" t="n">
        <f aca="false">Inputs!$C$22</f>
        <v>40</v>
      </c>
    </row>
    <row r="98" customFormat="false" ht="15" hidden="false" customHeight="false" outlineLevel="0" collapsed="false">
      <c r="B98" s="9" t="s">
        <v>63</v>
      </c>
      <c r="C98" s="21" t="n">
        <f aca="false">Inputs!$C$16</f>
        <v>60</v>
      </c>
    </row>
    <row r="99" customFormat="false" ht="15" hidden="false" customHeight="false" outlineLevel="0" collapsed="false">
      <c r="B99" s="9" t="s">
        <v>64</v>
      </c>
      <c r="C99" s="22" t="n">
        <f aca="false">Inputs!$C$35</f>
        <v>21</v>
      </c>
    </row>
    <row r="100" customFormat="false" ht="15" hidden="false" customHeight="false" outlineLevel="0" collapsed="false">
      <c r="B100" s="23" t="s">
        <v>65</v>
      </c>
      <c r="C100" s="24"/>
      <c r="D100" s="24" t="n">
        <v>0</v>
      </c>
      <c r="E100" s="24" t="n">
        <v>1</v>
      </c>
      <c r="F100" s="24" t="n">
        <v>2</v>
      </c>
      <c r="G100" s="24" t="n">
        <v>3</v>
      </c>
      <c r="H100" s="24" t="n">
        <v>4</v>
      </c>
      <c r="I100" s="24" t="n">
        <v>5</v>
      </c>
      <c r="J100" s="24" t="n">
        <v>6</v>
      </c>
      <c r="K100" s="24" t="n">
        <v>7</v>
      </c>
      <c r="L100" s="24" t="n">
        <v>8</v>
      </c>
      <c r="M100" s="24" t="n">
        <v>9</v>
      </c>
      <c r="N100" s="24" t="n">
        <v>10</v>
      </c>
    </row>
    <row r="101" customFormat="false" ht="15" hidden="false" customHeight="false" outlineLevel="0" collapsed="false">
      <c r="B101" s="9" t="s">
        <v>66</v>
      </c>
      <c r="E101" s="25" t="n">
        <f aca="false">Inputs!$C$6*$C$96</f>
        <v>25.5</v>
      </c>
      <c r="F101" s="25" t="n">
        <f aca="false">Inputs!$C$6*$C$96</f>
        <v>25.5</v>
      </c>
      <c r="G101" s="25" t="n">
        <f aca="false">Inputs!$C$6*$C$96</f>
        <v>25.5</v>
      </c>
      <c r="H101" s="25" t="n">
        <f aca="false">Inputs!$C$6*$C$96</f>
        <v>25.5</v>
      </c>
      <c r="I101" s="25" t="n">
        <f aca="false">Inputs!$C$6*$C$96</f>
        <v>25.5</v>
      </c>
      <c r="J101" s="25" t="n">
        <f aca="false">Inputs!$C$6*$C$96</f>
        <v>25.5</v>
      </c>
      <c r="K101" s="25" t="n">
        <f aca="false">Inputs!$C$6*$C$96</f>
        <v>25.5</v>
      </c>
      <c r="L101" s="25" t="n">
        <f aca="false">Inputs!$C$6*$C$96</f>
        <v>25.5</v>
      </c>
      <c r="M101" s="25" t="n">
        <f aca="false">Inputs!$C$6*$C$96</f>
        <v>25.5</v>
      </c>
      <c r="N101" s="25" t="n">
        <f aca="false">Inputs!$C$6*$C$96</f>
        <v>25.5</v>
      </c>
    </row>
    <row r="102" customFormat="false" ht="15" hidden="false" customHeight="false" outlineLevel="0" collapsed="false">
      <c r="B102" s="9" t="s">
        <v>67</v>
      </c>
      <c r="E102" s="26" t="n">
        <f aca="false">D104*Inputs!$C$13</f>
        <v>3.82</v>
      </c>
      <c r="F102" s="26" t="n">
        <f aca="false">E104*Inputs!$C$13</f>
        <v>4.0368</v>
      </c>
      <c r="G102" s="26" t="n">
        <f aca="false">F104*Inputs!$C$13</f>
        <v>4.251432</v>
      </c>
      <c r="H102" s="26" t="n">
        <f aca="false">G104*Inputs!$C$13</f>
        <v>4.46391768</v>
      </c>
      <c r="I102" s="26" t="n">
        <f aca="false">H104*Inputs!$C$13</f>
        <v>4.3742785032</v>
      </c>
      <c r="J102" s="26" t="n">
        <f aca="false">I104*Inputs!$C$13</f>
        <v>4.285535718168</v>
      </c>
      <c r="K102" s="26" t="n">
        <f aca="false">J104*Inputs!$C$13</f>
        <v>4.49768036098632</v>
      </c>
      <c r="L102" s="26" t="n">
        <f aca="false">K104*Inputs!$C$13</f>
        <v>4.70770355737646</v>
      </c>
      <c r="M102" s="26" t="n">
        <f aca="false">L104*Inputs!$C$13</f>
        <v>4.91562652180269</v>
      </c>
      <c r="N102" s="26" t="n">
        <f aca="false">M104*Inputs!$C$13</f>
        <v>5.12147025658467</v>
      </c>
    </row>
    <row r="103" customFormat="false" ht="15" hidden="false" customHeight="false" outlineLevel="0" collapsed="false">
      <c r="B103" s="9" t="s">
        <v>68</v>
      </c>
      <c r="E103" s="25" t="n">
        <f aca="false">IF(AND($C$98&gt;0,OR(E$100=Inputs!$C$14,E$100=Inputs!$C$14+1)),$C$98/2,0)</f>
        <v>0</v>
      </c>
      <c r="F103" s="25" t="n">
        <f aca="false">IF(AND($C$98&gt;0,OR(F$100=Inputs!$C$14,F$100=Inputs!$C$14+1)),$C$98/2,0)</f>
        <v>0</v>
      </c>
      <c r="G103" s="25" t="n">
        <f aca="false">IF(AND($C$98&gt;0,OR(G$100=Inputs!$C$14,G$100=Inputs!$C$14+1)),$C$98/2,0)</f>
        <v>0</v>
      </c>
      <c r="H103" s="25" t="n">
        <f aca="false">IF(AND($C$98&gt;0,OR(H$100=Inputs!$C$14,H$100=Inputs!$C$14+1)),$C$98/2,0)</f>
        <v>30</v>
      </c>
      <c r="I103" s="25" t="n">
        <f aca="false">IF(AND($C$98&gt;0,OR(I$100=Inputs!$C$14,I$100=Inputs!$C$14+1)),$C$98/2,0)</f>
        <v>30</v>
      </c>
      <c r="J103" s="25" t="n">
        <f aca="false">IF(AND($C$98&gt;0,OR(J$100=Inputs!$C$14,J$100=Inputs!$C$14+1)),$C$98/2,0)</f>
        <v>0</v>
      </c>
      <c r="K103" s="25" t="n">
        <f aca="false">IF(AND($C$98&gt;0,OR(K$100=Inputs!$C$14,K$100=Inputs!$C$14+1)),$C$98/2,0)</f>
        <v>0</v>
      </c>
      <c r="L103" s="25" t="n">
        <f aca="false">IF(AND($C$98&gt;0,OR(L$100=Inputs!$C$14,L$100=Inputs!$C$14+1)),$C$98/2,0)</f>
        <v>0</v>
      </c>
      <c r="M103" s="25" t="n">
        <f aca="false">IF(AND($C$98&gt;0,OR(M$100=Inputs!$C$14,M$100=Inputs!$C$14+1)),$C$98/2,0)</f>
        <v>0</v>
      </c>
      <c r="N103" s="25" t="n">
        <f aca="false">IF(AND($C$98&gt;0,OR(N$100=Inputs!$C$14,N$100=Inputs!$C$14+1)),$C$98/2,0)</f>
        <v>0</v>
      </c>
    </row>
    <row r="104" customFormat="false" ht="15" hidden="false" customHeight="false" outlineLevel="0" collapsed="false">
      <c r="B104" s="9" t="s">
        <v>69</v>
      </c>
      <c r="D104" s="25" t="n">
        <f aca="false">Inputs!$C$7</f>
        <v>382</v>
      </c>
      <c r="E104" s="25" t="n">
        <f aca="false">D104+E101-E102-E103</f>
        <v>403.68</v>
      </c>
      <c r="F104" s="25" t="n">
        <f aca="false">E104+F101-F102-F103</f>
        <v>425.1432</v>
      </c>
      <c r="G104" s="25" t="n">
        <f aca="false">F104+G101-G102-G103</f>
        <v>446.391768</v>
      </c>
      <c r="H104" s="25" t="n">
        <f aca="false">G104+H101-H102-H103</f>
        <v>437.42785032</v>
      </c>
      <c r="I104" s="25" t="n">
        <f aca="false">H104+I101-I102-I103</f>
        <v>428.5535718168</v>
      </c>
      <c r="J104" s="25" t="n">
        <f aca="false">I104+J101-J102-J103</f>
        <v>449.768036098632</v>
      </c>
      <c r="K104" s="25" t="n">
        <f aca="false">J104+K101-K102-K103</f>
        <v>470.770355737646</v>
      </c>
      <c r="L104" s="25" t="n">
        <f aca="false">K104+L101-L102-L103</f>
        <v>491.562652180269</v>
      </c>
      <c r="M104" s="25" t="n">
        <f aca="false">L104+M101-M102-M103</f>
        <v>512.147025658467</v>
      </c>
      <c r="N104" s="25" t="n">
        <f aca="false">M104+N101-N102-N103</f>
        <v>532.525555401882</v>
      </c>
    </row>
    <row r="105" customFormat="false" ht="15" hidden="false" customHeight="false" outlineLevel="0" collapsed="false">
      <c r="B105" s="9" t="s">
        <v>70</v>
      </c>
      <c r="E105" s="25" t="n">
        <f aca="false">(E104+D104)/2</f>
        <v>392.84</v>
      </c>
      <c r="F105" s="25" t="n">
        <f aca="false">(F104+E104)/2</f>
        <v>414.4116</v>
      </c>
      <c r="G105" s="25" t="n">
        <f aca="false">(G104+F104)/2</f>
        <v>435.767484</v>
      </c>
      <c r="H105" s="25" t="n">
        <f aca="false">(H104+G104)/2</f>
        <v>441.90980916</v>
      </c>
      <c r="I105" s="25" t="n">
        <f aca="false">(I104+H104)/2</f>
        <v>432.9907110684</v>
      </c>
      <c r="J105" s="25" t="n">
        <f aca="false">(J104+I104)/2</f>
        <v>439.160803957716</v>
      </c>
      <c r="K105" s="25" t="n">
        <f aca="false">(K104+J104)/2</f>
        <v>460.269195918139</v>
      </c>
      <c r="L105" s="25" t="n">
        <f aca="false">(L104+K104)/2</f>
        <v>481.166503958957</v>
      </c>
      <c r="M105" s="25" t="n">
        <f aca="false">(M104+L104)/2</f>
        <v>501.854838919368</v>
      </c>
      <c r="N105" s="25" t="n">
        <f aca="false">(N104+M104)/2</f>
        <v>522.336290530174</v>
      </c>
    </row>
    <row r="106" customFormat="false" ht="15" hidden="false" customHeight="false" outlineLevel="0" collapsed="false">
      <c r="B106" s="9" t="s">
        <v>71</v>
      </c>
      <c r="D106" s="26" t="n">
        <f aca="false">(Inputs!$C$6+D104)/Inputs!$C$6</f>
        <v>1.44941176470588</v>
      </c>
      <c r="E106" s="26" t="n">
        <f aca="false">(Inputs!$C$6+E104)/Inputs!$C$6</f>
        <v>1.47491764705882</v>
      </c>
      <c r="F106" s="26" t="n">
        <f aca="false">(Inputs!$C$6+F104)/Inputs!$C$6</f>
        <v>1.50016847058824</v>
      </c>
      <c r="G106" s="26" t="n">
        <f aca="false">(Inputs!$C$6+G104)/Inputs!$C$6</f>
        <v>1.52516678588235</v>
      </c>
      <c r="H106" s="26" t="n">
        <f aca="false">(Inputs!$C$6+H104)/Inputs!$C$6</f>
        <v>1.51462100037647</v>
      </c>
      <c r="I106" s="26" t="n">
        <f aca="false">(Inputs!$C$6+I104)/Inputs!$C$6</f>
        <v>1.50418067272565</v>
      </c>
      <c r="J106" s="26" t="n">
        <f aca="false">(Inputs!$C$6+J104)/Inputs!$C$6</f>
        <v>1.52913886599839</v>
      </c>
      <c r="K106" s="26" t="n">
        <f aca="false">(Inputs!$C$6+K104)/Inputs!$C$6</f>
        <v>1.55384747733841</v>
      </c>
      <c r="L106" s="26" t="n">
        <f aca="false">(Inputs!$C$6+L104)/Inputs!$C$6</f>
        <v>1.57830900256502</v>
      </c>
      <c r="M106" s="26" t="n">
        <f aca="false">(Inputs!$C$6+M104)/Inputs!$C$6</f>
        <v>1.60252591253937</v>
      </c>
      <c r="N106" s="26" t="n">
        <f aca="false">(Inputs!$C$6+N104)/Inputs!$C$6</f>
        <v>1.62650065341398</v>
      </c>
    </row>
    <row r="107" customFormat="false" ht="15" hidden="false" customHeight="false" outlineLevel="0" collapsed="false">
      <c r="B107" s="9" t="s">
        <v>72</v>
      </c>
      <c r="D107" s="27" t="n">
        <f aca="false">ROUND(Inputs!$C$6*Inputs!$C$19,0)</f>
        <v>595</v>
      </c>
      <c r="E107" s="27" t="n">
        <f aca="false">MAX(0,D107-$C$97)</f>
        <v>555</v>
      </c>
      <c r="F107" s="27" t="n">
        <f aca="false">MAX(0,E107-$C$97)</f>
        <v>515</v>
      </c>
      <c r="G107" s="27" t="n">
        <f aca="false">MAX(0,F107-$C$97)</f>
        <v>475</v>
      </c>
      <c r="H107" s="27" t="n">
        <f aca="false">MAX(0,G107-$C$97)</f>
        <v>435</v>
      </c>
      <c r="I107" s="27" t="n">
        <f aca="false">MAX(0,H107-$C$97)</f>
        <v>395</v>
      </c>
      <c r="J107" s="27" t="n">
        <f aca="false">MAX(0,I107-$C$97)</f>
        <v>355</v>
      </c>
      <c r="K107" s="27" t="n">
        <f aca="false">MAX(0,J107-$C$97)</f>
        <v>315</v>
      </c>
      <c r="L107" s="27" t="n">
        <f aca="false">MAX(0,K107-$C$97)</f>
        <v>275</v>
      </c>
      <c r="M107" s="27" t="n">
        <f aca="false">MAX(0,L107-$C$97)</f>
        <v>235</v>
      </c>
      <c r="N107" s="27" t="n">
        <f aca="false">MAX(0,M107-$C$97)</f>
        <v>195</v>
      </c>
    </row>
    <row r="108" customFormat="false" ht="15" hidden="false" customHeight="false" outlineLevel="0" collapsed="false">
      <c r="B108" s="9" t="s">
        <v>73</v>
      </c>
      <c r="E108" s="25" t="n">
        <f aca="false">(E107+D107)/2</f>
        <v>575</v>
      </c>
      <c r="F108" s="25" t="n">
        <f aca="false">(F107+E107)/2</f>
        <v>535</v>
      </c>
      <c r="G108" s="25" t="n">
        <f aca="false">(G107+F107)/2</f>
        <v>495</v>
      </c>
      <c r="H108" s="25" t="n">
        <f aca="false">(H107+G107)/2</f>
        <v>455</v>
      </c>
      <c r="I108" s="25" t="n">
        <f aca="false">(I107+H107)/2</f>
        <v>415</v>
      </c>
      <c r="J108" s="25" t="n">
        <f aca="false">(J107+I107)/2</f>
        <v>375</v>
      </c>
      <c r="K108" s="25" t="n">
        <f aca="false">(K107+J107)/2</f>
        <v>335</v>
      </c>
      <c r="L108" s="25" t="n">
        <f aca="false">(L107+K107)/2</f>
        <v>295</v>
      </c>
      <c r="M108" s="25" t="n">
        <f aca="false">(M107+L107)/2</f>
        <v>255</v>
      </c>
      <c r="N108" s="25" t="n">
        <f aca="false">(N107+M107)/2</f>
        <v>215</v>
      </c>
    </row>
    <row r="109" customFormat="false" ht="15" hidden="false" customHeight="false" outlineLevel="0" collapsed="false">
      <c r="B109" s="9" t="s">
        <v>74</v>
      </c>
      <c r="E109" s="28" t="n">
        <f aca="false">Inputs!$C$6*Inputs!$C$8*12*(1+Inputs!$C$9)^(E$100-1)/1000000</f>
        <v>20.91</v>
      </c>
      <c r="F109" s="28" t="n">
        <f aca="false">Inputs!$C$6*Inputs!$C$8*12*(1+Inputs!$C$9)^(F$100-1)/1000000</f>
        <v>21.43275</v>
      </c>
      <c r="G109" s="28" t="n">
        <f aca="false">Inputs!$C$6*Inputs!$C$8*12*(1+Inputs!$C$9)^(G$100-1)/1000000</f>
        <v>21.96856875</v>
      </c>
      <c r="H109" s="28" t="n">
        <f aca="false">Inputs!$C$6*Inputs!$C$8*12*(1+Inputs!$C$9)^(H$100-1)/1000000</f>
        <v>22.51778296875</v>
      </c>
      <c r="I109" s="28" t="n">
        <f aca="false">Inputs!$C$6*Inputs!$C$8*12*(1+Inputs!$C$9)^(I$100-1)/1000000</f>
        <v>23.0807275429687</v>
      </c>
      <c r="J109" s="28" t="n">
        <f aca="false">Inputs!$C$6*Inputs!$C$8*12*(1+Inputs!$C$9)^(J$100-1)/1000000</f>
        <v>23.657745731543</v>
      </c>
      <c r="K109" s="28" t="n">
        <f aca="false">Inputs!$C$6*Inputs!$C$8*12*(1+Inputs!$C$9)^(K$100-1)/1000000</f>
        <v>24.2491893748315</v>
      </c>
      <c r="L109" s="28" t="n">
        <f aca="false">Inputs!$C$6*Inputs!$C$8*12*(1+Inputs!$C$9)^(L$100-1)/1000000</f>
        <v>24.8554191092023</v>
      </c>
      <c r="M109" s="28" t="n">
        <f aca="false">Inputs!$C$6*Inputs!$C$8*12*(1+Inputs!$C$9)^(M$100-1)/1000000</f>
        <v>25.4768045869324</v>
      </c>
      <c r="N109" s="28" t="n">
        <f aca="false">Inputs!$C$6*Inputs!$C$8*12*(1+Inputs!$C$9)^(N$100-1)/1000000</f>
        <v>26.1137247016057</v>
      </c>
    </row>
    <row r="110" customFormat="false" ht="15" hidden="false" customHeight="false" outlineLevel="0" collapsed="false">
      <c r="B110" s="9" t="s">
        <v>75</v>
      </c>
      <c r="E110" s="28" t="n">
        <f aca="false">E105*Inputs!$C$10*12*(1+Inputs!$C$11)^(E$100-1)/1000000</f>
        <v>8.24964</v>
      </c>
      <c r="F110" s="28" t="n">
        <f aca="false">F105*Inputs!$C$10*12*(1+Inputs!$C$11)^(F$100-1)/1000000</f>
        <v>8.963722908</v>
      </c>
      <c r="G110" s="28" t="n">
        <f aca="false">G105*Inputs!$C$10*12*(1+Inputs!$C$11)^(G$100-1)/1000000</f>
        <v>9.7084201992876</v>
      </c>
      <c r="H110" s="28" t="n">
        <f aca="false">H105*Inputs!$C$10*12*(1+Inputs!$C$11)^(H$100-1)/1000000</f>
        <v>10.1406223807136</v>
      </c>
      <c r="I110" s="28" t="n">
        <f aca="false">I105*Inputs!$C$10*12*(1+Inputs!$C$11)^(I$100-1)/1000000</f>
        <v>10.2340320590686</v>
      </c>
      <c r="J110" s="28" t="n">
        <f aca="false">J105*Inputs!$C$10*12*(1+Inputs!$C$11)^(J$100-1)/1000000</f>
        <v>10.6912624240154</v>
      </c>
      <c r="K110" s="28" t="n">
        <f aca="false">K105*Inputs!$C$10*12*(1+Inputs!$C$11)^(K$100-1)/1000000</f>
        <v>11.5412952985598</v>
      </c>
      <c r="L110" s="28" t="n">
        <f aca="false">L105*Inputs!$C$10*12*(1+Inputs!$C$11)^(L$100-1)/1000000</f>
        <v>12.4272562708765</v>
      </c>
      <c r="M110" s="28" t="n">
        <f aca="false">M105*Inputs!$C$10*12*(1+Inputs!$C$11)^(M$100-1)/1000000</f>
        <v>13.3504285979958</v>
      </c>
      <c r="N110" s="28" t="n">
        <f aca="false">N105*Inputs!$C$10*12*(1+Inputs!$C$11)^(N$100-1)/1000000</f>
        <v>14.3121380813169</v>
      </c>
    </row>
    <row r="111" customFormat="false" ht="15" hidden="false" customHeight="false" outlineLevel="0" collapsed="false">
      <c r="B111" s="9" t="s">
        <v>76</v>
      </c>
      <c r="E111" s="28" t="n">
        <f aca="false">E109+E110</f>
        <v>29.15964</v>
      </c>
      <c r="F111" s="28" t="n">
        <f aca="false">F109+F110</f>
        <v>30.396472908</v>
      </c>
      <c r="G111" s="28" t="n">
        <f aca="false">G109+G110</f>
        <v>31.6769889492876</v>
      </c>
      <c r="H111" s="28" t="n">
        <f aca="false">H109+H110</f>
        <v>32.6584053494636</v>
      </c>
      <c r="I111" s="28" t="n">
        <f aca="false">I109+I110</f>
        <v>33.3147596020374</v>
      </c>
      <c r="J111" s="28" t="n">
        <f aca="false">J109+J110</f>
        <v>34.3490081555584</v>
      </c>
      <c r="K111" s="28" t="n">
        <f aca="false">K109+K110</f>
        <v>35.7904846733913</v>
      </c>
      <c r="L111" s="28" t="n">
        <f aca="false">L109+L110</f>
        <v>37.2826753800788</v>
      </c>
      <c r="M111" s="28" t="n">
        <f aca="false">M109+M110</f>
        <v>38.8272331849282</v>
      </c>
      <c r="N111" s="28" t="n">
        <f aca="false">N109+N110</f>
        <v>40.4258627829226</v>
      </c>
    </row>
    <row r="112" customFormat="false" ht="15" hidden="false" customHeight="false" outlineLevel="0" collapsed="false">
      <c r="B112" s="9" t="s">
        <v>77</v>
      </c>
      <c r="E112" s="28" t="n">
        <f aca="false">Inputs!$C$20*12*(1+Inputs!$C$21)^(E$100-1)</f>
        <v>13800</v>
      </c>
      <c r="F112" s="28" t="n">
        <f aca="false">Inputs!$C$20*12*(1+Inputs!$C$21)^(F$100-1)</f>
        <v>14214</v>
      </c>
      <c r="G112" s="28" t="n">
        <f aca="false">Inputs!$C$20*12*(1+Inputs!$C$21)^(G$100-1)</f>
        <v>14640.42</v>
      </c>
      <c r="H112" s="28" t="n">
        <f aca="false">Inputs!$C$20*12*(1+Inputs!$C$21)^(H$100-1)</f>
        <v>15079.6326</v>
      </c>
      <c r="I112" s="28" t="n">
        <f aca="false">Inputs!$C$20*12*(1+Inputs!$C$21)^(I$100-1)</f>
        <v>15532.021578</v>
      </c>
      <c r="J112" s="28" t="n">
        <f aca="false">Inputs!$C$20*12*(1+Inputs!$C$21)^(J$100-1)</f>
        <v>15997.98222534</v>
      </c>
      <c r="K112" s="28" t="n">
        <f aca="false">Inputs!$C$20*12*(1+Inputs!$C$21)^(K$100-1)</f>
        <v>16477.9216921002</v>
      </c>
      <c r="L112" s="28" t="n">
        <f aca="false">Inputs!$C$20*12*(1+Inputs!$C$21)^(L$100-1)</f>
        <v>16972.2593428632</v>
      </c>
      <c r="M112" s="28" t="n">
        <f aca="false">Inputs!$C$20*12*(1+Inputs!$C$21)^(M$100-1)</f>
        <v>17481.4271231491</v>
      </c>
      <c r="N112" s="28" t="n">
        <f aca="false">Inputs!$C$20*12*(1+Inputs!$C$21)^(N$100-1)</f>
        <v>18005.8699368436</v>
      </c>
    </row>
    <row r="113" customFormat="false" ht="15" hidden="false" customHeight="false" outlineLevel="0" collapsed="false">
      <c r="B113" s="9" t="s">
        <v>78</v>
      </c>
      <c r="E113" s="28" t="n">
        <f aca="false">E108*E112/1000000</f>
        <v>7.935</v>
      </c>
      <c r="F113" s="28" t="n">
        <f aca="false">F108*F112/1000000</f>
        <v>7.60449</v>
      </c>
      <c r="G113" s="28" t="n">
        <f aca="false">G108*G112/1000000</f>
        <v>7.2470079</v>
      </c>
      <c r="H113" s="28" t="n">
        <f aca="false">H108*H112/1000000</f>
        <v>6.861232833</v>
      </c>
      <c r="I113" s="28" t="n">
        <f aca="false">I108*I112/1000000</f>
        <v>6.44578895487</v>
      </c>
      <c r="J113" s="28" t="n">
        <f aca="false">J108*J112/1000000</f>
        <v>5.9992433345025</v>
      </c>
      <c r="K113" s="28" t="n">
        <f aca="false">K108*K112/1000000</f>
        <v>5.52010376685357</v>
      </c>
      <c r="L113" s="28" t="n">
        <f aca="false">L108*L112/1000000</f>
        <v>5.00681650614465</v>
      </c>
      <c r="M113" s="28" t="n">
        <f aca="false">M108*M112/1000000</f>
        <v>4.45776391640302</v>
      </c>
      <c r="N113" s="28" t="n">
        <f aca="false">N108*N112/1000000</f>
        <v>3.87126203642137</v>
      </c>
    </row>
    <row r="114" customFormat="false" ht="15" hidden="false" customHeight="false" outlineLevel="0" collapsed="false">
      <c r="B114" s="9" t="s">
        <v>79</v>
      </c>
      <c r="E114" s="28" t="n">
        <f aca="false">Inputs!$C$6*Inputs!$C$24*12*(1+Inputs!$C$25)^(E$100-1)/1000000</f>
        <v>3.57</v>
      </c>
      <c r="F114" s="28" t="n">
        <f aca="false">Inputs!$C$6*Inputs!$C$24*12*(1+Inputs!$C$25)^(F$100-1)/1000000</f>
        <v>3.65925</v>
      </c>
      <c r="G114" s="28" t="n">
        <f aca="false">Inputs!$C$6*Inputs!$C$24*12*(1+Inputs!$C$25)^(G$100-1)/1000000</f>
        <v>3.75073125</v>
      </c>
      <c r="H114" s="28" t="n">
        <f aca="false">Inputs!$C$6*Inputs!$C$24*12*(1+Inputs!$C$25)^(H$100-1)/1000000</f>
        <v>3.84449953125</v>
      </c>
      <c r="I114" s="28" t="n">
        <f aca="false">Inputs!$C$6*Inputs!$C$24*12*(1+Inputs!$C$25)^(I$100-1)/1000000</f>
        <v>3.94061201953125</v>
      </c>
      <c r="J114" s="28" t="n">
        <f aca="false">Inputs!$C$6*Inputs!$C$24*12*(1+Inputs!$C$25)^(J$100-1)/1000000</f>
        <v>4.03912732001953</v>
      </c>
      <c r="K114" s="28" t="n">
        <f aca="false">Inputs!$C$6*Inputs!$C$24*12*(1+Inputs!$C$25)^(K$100-1)/1000000</f>
        <v>4.14010550302002</v>
      </c>
      <c r="L114" s="28" t="n">
        <f aca="false">Inputs!$C$6*Inputs!$C$24*12*(1+Inputs!$C$25)^(L$100-1)/1000000</f>
        <v>4.24360814059552</v>
      </c>
      <c r="M114" s="28" t="n">
        <f aca="false">Inputs!$C$6*Inputs!$C$24*12*(1+Inputs!$C$25)^(M$100-1)/1000000</f>
        <v>4.34969834411041</v>
      </c>
      <c r="N114" s="28" t="n">
        <f aca="false">Inputs!$C$6*Inputs!$C$24*12*(1+Inputs!$C$25)^(N$100-1)/1000000</f>
        <v>4.45844080271317</v>
      </c>
    </row>
    <row r="115" customFormat="false" ht="15" hidden="false" customHeight="false" outlineLevel="0" collapsed="false">
      <c r="B115" s="9" t="s">
        <v>80</v>
      </c>
      <c r="E115" s="28" t="n">
        <f aca="false">Inputs!$C$26*(1+Inputs!$C$27)^(E$100-1)</f>
        <v>4.5</v>
      </c>
      <c r="F115" s="28" t="n">
        <f aca="false">Inputs!$C$26*(1+Inputs!$C$27)^(F$100-1)</f>
        <v>4.635</v>
      </c>
      <c r="G115" s="28" t="n">
        <f aca="false">Inputs!$C$26*(1+Inputs!$C$27)^(G$100-1)</f>
        <v>4.77405</v>
      </c>
      <c r="H115" s="28" t="n">
        <f aca="false">Inputs!$C$26*(1+Inputs!$C$27)^(H$100-1)</f>
        <v>4.9172715</v>
      </c>
      <c r="I115" s="28" t="n">
        <f aca="false">Inputs!$C$26*(1+Inputs!$C$27)^(I$100-1)</f>
        <v>5.064789645</v>
      </c>
      <c r="J115" s="28" t="n">
        <f aca="false">Inputs!$C$26*(1+Inputs!$C$27)^(J$100-1)</f>
        <v>5.21673333435</v>
      </c>
      <c r="K115" s="28" t="n">
        <f aca="false">Inputs!$C$26*(1+Inputs!$C$27)^(K$100-1)</f>
        <v>5.3732353343805</v>
      </c>
      <c r="L115" s="28" t="n">
        <f aca="false">Inputs!$C$26*(1+Inputs!$C$27)^(L$100-1)</f>
        <v>5.53443239441192</v>
      </c>
      <c r="M115" s="28" t="n">
        <f aca="false">Inputs!$C$26*(1+Inputs!$C$27)^(M$100-1)</f>
        <v>5.70046536624427</v>
      </c>
      <c r="N115" s="28" t="n">
        <f aca="false">Inputs!$C$26*(1+Inputs!$C$27)^(N$100-1)</f>
        <v>5.8714793272316</v>
      </c>
    </row>
    <row r="116" customFormat="false" ht="15" hidden="false" customHeight="false" outlineLevel="0" collapsed="false">
      <c r="B116" s="29" t="s">
        <v>81</v>
      </c>
      <c r="E116" s="30" t="n">
        <f aca="false">E111-E113-E114-E115</f>
        <v>13.15464</v>
      </c>
      <c r="F116" s="30" t="n">
        <f aca="false">F111-F113-F114-F115</f>
        <v>14.497732908</v>
      </c>
      <c r="G116" s="30" t="n">
        <f aca="false">G111-G113-G114-G115</f>
        <v>15.9051997992876</v>
      </c>
      <c r="H116" s="30" t="n">
        <f aca="false">H111-H113-H114-H115</f>
        <v>17.0354014852136</v>
      </c>
      <c r="I116" s="30" t="n">
        <f aca="false">I111-I113-I114-I115</f>
        <v>17.8635689826361</v>
      </c>
      <c r="J116" s="30" t="n">
        <f aca="false">J111-J113-J114-J115</f>
        <v>19.0939041666864</v>
      </c>
      <c r="K116" s="30" t="n">
        <f aca="false">K111-K113-K114-K115</f>
        <v>20.7570400691373</v>
      </c>
      <c r="L116" s="30" t="n">
        <f aca="false">L111-L113-L114-L115</f>
        <v>22.4978183389267</v>
      </c>
      <c r="M116" s="30" t="n">
        <f aca="false">M111-M113-M114-M115</f>
        <v>24.3193055581705</v>
      </c>
      <c r="N116" s="30" t="n">
        <f aca="false">N111-N113-N114-N115</f>
        <v>26.2246806165564</v>
      </c>
    </row>
    <row r="117" customFormat="false" ht="15" hidden="false" customHeight="false" outlineLevel="0" collapsed="false">
      <c r="B117" s="9" t="s">
        <v>82</v>
      </c>
      <c r="E117" s="28" t="n">
        <f aca="false">Inputs!$C$6*Inputs!$C$28*(1+Inputs!$C$29)^(E$100-1)/1000000</f>
        <v>1.02</v>
      </c>
      <c r="F117" s="28" t="n">
        <f aca="false">Inputs!$C$6*Inputs!$C$28*(1+Inputs!$C$29)^(F$100-1)/1000000</f>
        <v>1.0506</v>
      </c>
      <c r="G117" s="28" t="n">
        <f aca="false">Inputs!$C$6*Inputs!$C$28*(1+Inputs!$C$29)^(G$100-1)/1000000</f>
        <v>1.082118</v>
      </c>
      <c r="H117" s="28" t="n">
        <f aca="false">Inputs!$C$6*Inputs!$C$28*(1+Inputs!$C$29)^(H$100-1)/1000000</f>
        <v>1.11458154</v>
      </c>
      <c r="I117" s="28" t="n">
        <f aca="false">Inputs!$C$6*Inputs!$C$28*(1+Inputs!$C$29)^(I$100-1)/1000000</f>
        <v>1.1480189862</v>
      </c>
      <c r="J117" s="28" t="n">
        <f aca="false">Inputs!$C$6*Inputs!$C$28*(1+Inputs!$C$29)^(J$100-1)/1000000</f>
        <v>1.182459555786</v>
      </c>
      <c r="K117" s="28" t="n">
        <f aca="false">Inputs!$C$6*Inputs!$C$28*(1+Inputs!$C$29)^(K$100-1)/1000000</f>
        <v>1.21793334245958</v>
      </c>
      <c r="L117" s="28" t="n">
        <f aca="false">Inputs!$C$6*Inputs!$C$28*(1+Inputs!$C$29)^(L$100-1)/1000000</f>
        <v>1.25447134273337</v>
      </c>
      <c r="M117" s="28" t="n">
        <f aca="false">Inputs!$C$6*Inputs!$C$28*(1+Inputs!$C$29)^(M$100-1)/1000000</f>
        <v>1.29210548301537</v>
      </c>
      <c r="N117" s="28" t="n">
        <f aca="false">Inputs!$C$6*Inputs!$C$28*(1+Inputs!$C$29)^(N$100-1)/1000000</f>
        <v>1.33086864750583</v>
      </c>
    </row>
    <row r="118" customFormat="false" ht="15" hidden="false" customHeight="false" outlineLevel="0" collapsed="false">
      <c r="B118" s="9" t="s">
        <v>83</v>
      </c>
      <c r="E118" s="28" t="n">
        <f aca="false">E101*Inputs!$C$30*(1+Inputs!$C$29)^(E$100-1)/1000000</f>
        <v>0.3825</v>
      </c>
      <c r="F118" s="28" t="n">
        <f aca="false">F101*Inputs!$C$30*(1+Inputs!$C$29)^(F$100-1)/1000000</f>
        <v>0.393975</v>
      </c>
      <c r="G118" s="28" t="n">
        <f aca="false">G101*Inputs!$C$30*(1+Inputs!$C$29)^(G$100-1)/1000000</f>
        <v>0.40579425</v>
      </c>
      <c r="H118" s="28" t="n">
        <f aca="false">H101*Inputs!$C$30*(1+Inputs!$C$29)^(H$100-1)/1000000</f>
        <v>0.4179680775</v>
      </c>
      <c r="I118" s="28" t="n">
        <f aca="false">I101*Inputs!$C$30*(1+Inputs!$C$29)^(I$100-1)/1000000</f>
        <v>0.430507119825</v>
      </c>
      <c r="J118" s="28" t="n">
        <f aca="false">J101*Inputs!$C$30*(1+Inputs!$C$29)^(J$100-1)/1000000</f>
        <v>0.44342233341975</v>
      </c>
      <c r="K118" s="28" t="n">
        <f aca="false">K101*Inputs!$C$30*(1+Inputs!$C$29)^(K$100-1)/1000000</f>
        <v>0.456725003422343</v>
      </c>
      <c r="L118" s="28" t="n">
        <f aca="false">L101*Inputs!$C$30*(1+Inputs!$C$29)^(L$100-1)/1000000</f>
        <v>0.470426753525013</v>
      </c>
      <c r="M118" s="28" t="n">
        <f aca="false">M101*Inputs!$C$30*(1+Inputs!$C$29)^(M$100-1)/1000000</f>
        <v>0.484539556130763</v>
      </c>
      <c r="N118" s="28" t="n">
        <f aca="false">N101*Inputs!$C$30*(1+Inputs!$C$29)^(N$100-1)/1000000</f>
        <v>0.499075742814686</v>
      </c>
    </row>
    <row r="119" customFormat="false" ht="15" hidden="false" customHeight="false" outlineLevel="0" collapsed="false">
      <c r="B119" s="9" t="s">
        <v>84</v>
      </c>
      <c r="E119" s="28" t="n">
        <f aca="false">(D107-E107)*E112*Inputs!$C$23/1000000</f>
        <v>8.832</v>
      </c>
      <c r="F119" s="28" t="n">
        <f aca="false">(E107-F107)*F112*Inputs!$C$23/1000000</f>
        <v>9.09696</v>
      </c>
      <c r="G119" s="28" t="n">
        <f aca="false">(F107-G107)*G112*Inputs!$C$23/1000000</f>
        <v>9.3698688</v>
      </c>
      <c r="H119" s="28" t="n">
        <f aca="false">(G107-H107)*H112*Inputs!$C$23/1000000</f>
        <v>9.650964864</v>
      </c>
      <c r="I119" s="28" t="n">
        <f aca="false">(H107-I107)*I112*Inputs!$C$23/1000000</f>
        <v>9.94049380992</v>
      </c>
      <c r="J119" s="28" t="n">
        <f aca="false">(I107-J107)*J112*Inputs!$C$23/1000000</f>
        <v>10.2387086242176</v>
      </c>
      <c r="K119" s="28" t="n">
        <f aca="false">(J107-K107)*K112*Inputs!$C$23/1000000</f>
        <v>10.5458698829441</v>
      </c>
      <c r="L119" s="28" t="n">
        <f aca="false">(K107-L107)*L112*Inputs!$C$23/1000000</f>
        <v>10.8622459794325</v>
      </c>
      <c r="M119" s="28" t="n">
        <f aca="false">(L107-M107)*M112*Inputs!$C$23/1000000</f>
        <v>11.1881133588154</v>
      </c>
      <c r="N119" s="28" t="n">
        <f aca="false">(M107-N107)*N112*Inputs!$C$23/1000000</f>
        <v>11.5237567595799</v>
      </c>
    </row>
    <row r="120" customFormat="false" ht="15" hidden="false" customHeight="false" outlineLevel="0" collapsed="false">
      <c r="B120" s="29" t="s">
        <v>85</v>
      </c>
      <c r="E120" s="30" t="n">
        <f aca="false">E116-E117-E118-E119</f>
        <v>2.92014</v>
      </c>
      <c r="F120" s="30" t="n">
        <f aca="false">F116-F117-F118-F119</f>
        <v>3.956197908</v>
      </c>
      <c r="G120" s="30" t="n">
        <f aca="false">G116-G117-G118-G119</f>
        <v>5.0474187492876</v>
      </c>
      <c r="H120" s="30" t="n">
        <f aca="false">H116-H117-H118-H119</f>
        <v>5.85188700371356</v>
      </c>
      <c r="I120" s="30" t="n">
        <f aca="false">I116-I117-I118-I119</f>
        <v>6.34454906669111</v>
      </c>
      <c r="J120" s="30" t="n">
        <f aca="false">J116-J117-J118-J119</f>
        <v>7.229313653263</v>
      </c>
      <c r="K120" s="30" t="n">
        <f aca="false">K116-K117-K118-K119</f>
        <v>8.53651184031121</v>
      </c>
      <c r="L120" s="30" t="n">
        <f aca="false">L116-L117-L118-L119</f>
        <v>9.91067426323586</v>
      </c>
      <c r="M120" s="30" t="n">
        <f aca="false">M116-M117-M118-M119</f>
        <v>11.3545471602089</v>
      </c>
      <c r="N120" s="30" t="n">
        <f aca="false">N116-N117-N118-N119</f>
        <v>12.870979466656</v>
      </c>
    </row>
    <row r="121" customFormat="false" ht="15" hidden="false" customHeight="false" outlineLevel="0" collapsed="false">
      <c r="B121" s="9" t="s">
        <v>86</v>
      </c>
      <c r="C121" s="28" t="n">
        <f aca="false">Inputs!$C$33*(1+Inputs!$C$34)</f>
        <v>287.64</v>
      </c>
    </row>
    <row r="122" customFormat="false" ht="15" hidden="false" customHeight="false" outlineLevel="0" collapsed="false">
      <c r="B122" s="29" t="s">
        <v>87</v>
      </c>
      <c r="C122" s="30" t="n">
        <f aca="false">N116*$C$99*(1-Inputs!$C$36)</f>
        <v>542.457518553469</v>
      </c>
    </row>
    <row r="123" customFormat="false" ht="15" hidden="false" customHeight="false" outlineLevel="0" collapsed="false">
      <c r="B123" s="9" t="s">
        <v>88</v>
      </c>
      <c r="C123" s="28" t="n">
        <f aca="false">Inputs!$C$37*E116</f>
        <v>92.08248</v>
      </c>
    </row>
    <row r="124" customFormat="false" ht="15" hidden="false" customHeight="false" outlineLevel="0" collapsed="false">
      <c r="B124" s="9" t="s">
        <v>89</v>
      </c>
      <c r="C124" s="28" t="n">
        <f aca="false">Inputs!$C$40*INDEX(E116:N116,Inputs!$C$39)</f>
        <v>145.299280483961</v>
      </c>
    </row>
    <row r="125" customFormat="false" ht="15" hidden="false" customHeight="false" outlineLevel="0" collapsed="false">
      <c r="B125" s="29" t="s">
        <v>90</v>
      </c>
      <c r="D125" s="30" t="n">
        <f aca="false">-$C$121</f>
        <v>-287.64</v>
      </c>
      <c r="E125" s="30" t="n">
        <f aca="false">E120</f>
        <v>2.92014</v>
      </c>
      <c r="F125" s="30" t="n">
        <f aca="false">F120</f>
        <v>3.956197908</v>
      </c>
      <c r="G125" s="30" t="n">
        <f aca="false">G120</f>
        <v>5.0474187492876</v>
      </c>
      <c r="H125" s="30" t="n">
        <f aca="false">H120</f>
        <v>5.85188700371356</v>
      </c>
      <c r="I125" s="30" t="n">
        <f aca="false">I120</f>
        <v>6.34454906669111</v>
      </c>
      <c r="J125" s="30" t="n">
        <f aca="false">J120</f>
        <v>7.229313653263</v>
      </c>
      <c r="K125" s="30" t="n">
        <f aca="false">K120</f>
        <v>8.53651184031121</v>
      </c>
      <c r="L125" s="30" t="n">
        <f aca="false">L120</f>
        <v>9.91067426323586</v>
      </c>
      <c r="M125" s="30" t="n">
        <f aca="false">M120</f>
        <v>11.3545471602089</v>
      </c>
      <c r="N125" s="30" t="n">
        <f aca="false">N120+$C$122</f>
        <v>555.328498020125</v>
      </c>
    </row>
    <row r="127" customFormat="false" ht="15" hidden="false" customHeight="false" outlineLevel="0" collapsed="false">
      <c r="B127" s="23" t="s">
        <v>91</v>
      </c>
      <c r="C127" s="24"/>
      <c r="D127" s="24" t="n">
        <v>0</v>
      </c>
      <c r="E127" s="24" t="n">
        <v>1</v>
      </c>
      <c r="F127" s="24" t="n">
        <v>2</v>
      </c>
      <c r="G127" s="24" t="n">
        <v>3</v>
      </c>
      <c r="H127" s="24" t="n">
        <v>4</v>
      </c>
      <c r="I127" s="24" t="n">
        <v>5</v>
      </c>
      <c r="J127" s="24" t="n">
        <v>6</v>
      </c>
      <c r="K127" s="24" t="n">
        <v>7</v>
      </c>
      <c r="L127" s="24" t="n">
        <v>8</v>
      </c>
      <c r="M127" s="24" t="n">
        <v>9</v>
      </c>
      <c r="N127" s="24" t="n">
        <v>10</v>
      </c>
    </row>
    <row r="128" customFormat="false" ht="15" hidden="false" customHeight="false" outlineLevel="0" collapsed="false">
      <c r="B128" s="9" t="s">
        <v>92</v>
      </c>
      <c r="E128" s="28" t="n">
        <f aca="false">IF(E$127&lt;Inputs!$C$39,$C$123,$C$124)</f>
        <v>92.08248</v>
      </c>
      <c r="F128" s="28" t="n">
        <f aca="false">IF(F$127&lt;Inputs!$C$39,$C$123,$C$124)</f>
        <v>92.08248</v>
      </c>
      <c r="G128" s="28" t="n">
        <f aca="false">IF(G$127&lt;Inputs!$C$39,$C$123,$C$124)</f>
        <v>92.08248</v>
      </c>
      <c r="H128" s="28" t="n">
        <f aca="false">IF(H$127&lt;Inputs!$C$39,$C$123,$C$124)</f>
        <v>92.08248</v>
      </c>
      <c r="I128" s="28" t="n">
        <f aca="false">IF(I$127&lt;Inputs!$C$39,$C$123,$C$124)</f>
        <v>92.08248</v>
      </c>
      <c r="J128" s="28" t="n">
        <f aca="false">IF(J$127&lt;Inputs!$C$39,$C$123,$C$124)</f>
        <v>92.08248</v>
      </c>
      <c r="K128" s="28" t="n">
        <f aca="false">IF(K$127&lt;Inputs!$C$39,$C$123,$C$124)</f>
        <v>145.299280483961</v>
      </c>
      <c r="L128" s="28" t="n">
        <f aca="false">IF(L$127&lt;Inputs!$C$39,$C$123,$C$124)</f>
        <v>145.299280483961</v>
      </c>
      <c r="M128" s="28" t="n">
        <f aca="false">IF(M$127&lt;Inputs!$C$39,$C$123,$C$124)</f>
        <v>145.299280483961</v>
      </c>
      <c r="N128" s="28" t="n">
        <f aca="false">IF(N$127&lt;Inputs!$C$39,$C$123,$C$124)</f>
        <v>145.299280483961</v>
      </c>
    </row>
    <row r="129" customFormat="false" ht="15" hidden="false" customHeight="false" outlineLevel="0" collapsed="false">
      <c r="B129" s="9" t="s">
        <v>93</v>
      </c>
      <c r="E129" s="28" t="n">
        <f aca="false">IF(E$127&lt;=Inputs!$C$39,$C$123*Inputs!$C$38,$C$124*Inputs!$C$41)</f>
        <v>5.755155</v>
      </c>
      <c r="F129" s="28" t="n">
        <f aca="false">IF(F$127&lt;=Inputs!$C$39,$C$123*Inputs!$C$38,$C$124*Inputs!$C$41)</f>
        <v>5.755155</v>
      </c>
      <c r="G129" s="28" t="n">
        <f aca="false">IF(G$127&lt;=Inputs!$C$39,$C$123*Inputs!$C$38,$C$124*Inputs!$C$41)</f>
        <v>5.755155</v>
      </c>
      <c r="H129" s="28" t="n">
        <f aca="false">IF(H$127&lt;=Inputs!$C$39,$C$123*Inputs!$C$38,$C$124*Inputs!$C$41)</f>
        <v>5.755155</v>
      </c>
      <c r="I129" s="28" t="n">
        <f aca="false">IF(I$127&lt;=Inputs!$C$39,$C$123*Inputs!$C$38,$C$124*Inputs!$C$41)</f>
        <v>5.755155</v>
      </c>
      <c r="J129" s="28" t="n">
        <f aca="false">IF(J$127&lt;=Inputs!$C$39,$C$123*Inputs!$C$38,$C$124*Inputs!$C$41)</f>
        <v>5.755155</v>
      </c>
      <c r="K129" s="28" t="n">
        <f aca="false">IF(K$127&lt;=Inputs!$C$39,$C$123*Inputs!$C$38,$C$124*Inputs!$C$41)</f>
        <v>5.755155</v>
      </c>
      <c r="L129" s="28" t="n">
        <f aca="false">IF(L$127&lt;=Inputs!$C$39,$C$123*Inputs!$C$38,$C$124*Inputs!$C$41)</f>
        <v>9.44445323145745</v>
      </c>
      <c r="M129" s="28" t="n">
        <f aca="false">IF(M$127&lt;=Inputs!$C$39,$C$123*Inputs!$C$38,$C$124*Inputs!$C$41)</f>
        <v>9.44445323145745</v>
      </c>
      <c r="N129" s="28" t="n">
        <f aca="false">IF(N$127&lt;=Inputs!$C$39,$C$123*Inputs!$C$38,$C$124*Inputs!$C$41)</f>
        <v>9.44445323145745</v>
      </c>
    </row>
    <row r="130" customFormat="false" ht="15" hidden="false" customHeight="false" outlineLevel="0" collapsed="false">
      <c r="B130" s="9" t="s">
        <v>94</v>
      </c>
      <c r="E130" s="26" t="n">
        <f aca="false">E128/E116</f>
        <v>7</v>
      </c>
      <c r="F130" s="26" t="n">
        <f aca="false">F128/F116</f>
        <v>6.35150892793645</v>
      </c>
      <c r="G130" s="26" t="n">
        <f aca="false">G128/G116</f>
        <v>5.78945760895908</v>
      </c>
      <c r="H130" s="26" t="n">
        <f aca="false">H128/H116</f>
        <v>5.40536013077978</v>
      </c>
      <c r="I130" s="26" t="n">
        <f aca="false">I128/I116</f>
        <v>5.15476387106668</v>
      </c>
      <c r="J130" s="26" t="n">
        <f aca="false">J128/J116</f>
        <v>4.8226114049875</v>
      </c>
      <c r="K130" s="26" t="n">
        <f aca="false">K128/K116</f>
        <v>7</v>
      </c>
      <c r="L130" s="26" t="n">
        <f aca="false">L128/L116</f>
        <v>6.45837202056867</v>
      </c>
      <c r="M130" s="26" t="n">
        <f aca="false">M128/M116</f>
        <v>5.97464759577172</v>
      </c>
      <c r="N130" s="26" t="n">
        <f aca="false">N128/N116</f>
        <v>5.54055481584127</v>
      </c>
    </row>
    <row r="131" customFormat="false" ht="15" hidden="false" customHeight="false" outlineLevel="0" collapsed="false">
      <c r="B131" s="9" t="s">
        <v>95</v>
      </c>
      <c r="E131" s="26" t="n">
        <f aca="false">E116/E129</f>
        <v>2.28571428571429</v>
      </c>
      <c r="F131" s="26" t="n">
        <f aca="false">F116/F129</f>
        <v>2.51908643781097</v>
      </c>
      <c r="G131" s="26" t="n">
        <f aca="false">G116/G129</f>
        <v>2.7636440372653</v>
      </c>
      <c r="H131" s="26" t="n">
        <f aca="false">H116/H129</f>
        <v>2.96002479259265</v>
      </c>
      <c r="I131" s="26" t="n">
        <f aca="false">I116/I129</f>
        <v>3.10392491299298</v>
      </c>
      <c r="J131" s="26" t="n">
        <f aca="false">J116/J129</f>
        <v>3.31770459122063</v>
      </c>
      <c r="K131" s="26" t="n">
        <f aca="false">K116/K129</f>
        <v>3.60668653913531</v>
      </c>
      <c r="L131" s="26" t="n">
        <f aca="false">L116/L129</f>
        <v>2.38211972546926</v>
      </c>
      <c r="M131" s="26" t="n">
        <f aca="false">M116/M129</f>
        <v>2.57498289865718</v>
      </c>
      <c r="N131" s="26" t="n">
        <f aca="false">N116/N129</f>
        <v>2.77672830537268</v>
      </c>
    </row>
    <row r="132" customFormat="false" ht="15" hidden="false" customHeight="false" outlineLevel="0" collapsed="false">
      <c r="B132" s="9" t="s">
        <v>96</v>
      </c>
      <c r="D132" s="28" t="n">
        <f aca="false">$C$123*(1-Inputs!$C$42)</f>
        <v>91.1616552</v>
      </c>
      <c r="E132" s="28" t="n">
        <f aca="false">-E129+IF(E$127=Inputs!$C$39,$C$124*(1-Inputs!$C$42)-$C$123,0)</f>
        <v>-5.755155</v>
      </c>
      <c r="F132" s="28" t="n">
        <f aca="false">-F129+IF(F$127=Inputs!$C$39,$C$124*(1-Inputs!$C$42)-$C$123,0)</f>
        <v>-5.755155</v>
      </c>
      <c r="G132" s="28" t="n">
        <f aca="false">-G129+IF(G$127=Inputs!$C$39,$C$124*(1-Inputs!$C$42)-$C$123,0)</f>
        <v>-5.755155</v>
      </c>
      <c r="H132" s="28" t="n">
        <f aca="false">-H129+IF(H$127=Inputs!$C$39,$C$124*(1-Inputs!$C$42)-$C$123,0)</f>
        <v>-5.755155</v>
      </c>
      <c r="I132" s="28" t="n">
        <f aca="false">-I129+IF(I$127=Inputs!$C$39,$C$124*(1-Inputs!$C$42)-$C$123,0)</f>
        <v>-5.755155</v>
      </c>
      <c r="J132" s="28" t="n">
        <f aca="false">-J129+IF(J$127=Inputs!$C$39,$C$124*(1-Inputs!$C$42)-$C$123,0)</f>
        <v>-5.755155</v>
      </c>
      <c r="K132" s="28" t="n">
        <f aca="false">-K129+IF(K$127=Inputs!$C$39,$C$124*(1-Inputs!$C$42)-$C$123,0)</f>
        <v>46.0086526791212</v>
      </c>
      <c r="L132" s="28" t="n">
        <f aca="false">-L129+IF(L$127=Inputs!$C$39,$C$124*(1-Inputs!$C$42)-$C$123,0)</f>
        <v>-9.44445323145745</v>
      </c>
      <c r="M132" s="28" t="n">
        <f aca="false">-M129+IF(M$127=Inputs!$C$39,$C$124*(1-Inputs!$C$42)-$C$123,0)</f>
        <v>-9.44445323145745</v>
      </c>
      <c r="N132" s="28" t="n">
        <f aca="false">-N129+IF(N$127=Inputs!$C$39,$C$124*(1-Inputs!$C$42)-$C$123,0)-$C$124</f>
        <v>-154.743733715418</v>
      </c>
    </row>
    <row r="133" customFormat="false" ht="15" hidden="false" customHeight="false" outlineLevel="0" collapsed="false">
      <c r="B133" s="29" t="s">
        <v>97</v>
      </c>
      <c r="D133" s="30" t="n">
        <f aca="false">D125+D132</f>
        <v>-196.4783448</v>
      </c>
      <c r="E133" s="30" t="n">
        <f aca="false">E125+E132</f>
        <v>-2.835015</v>
      </c>
      <c r="F133" s="30" t="n">
        <f aca="false">F125+F132</f>
        <v>-1.798957092</v>
      </c>
      <c r="G133" s="30" t="n">
        <f aca="false">G125+G132</f>
        <v>-0.707736250712403</v>
      </c>
      <c r="H133" s="30" t="n">
        <f aca="false">H125+H132</f>
        <v>0.0967320037135551</v>
      </c>
      <c r="I133" s="30" t="n">
        <f aca="false">I125+I132</f>
        <v>0.589394066691114</v>
      </c>
      <c r="J133" s="30" t="n">
        <f aca="false">J125+J132</f>
        <v>1.474158653263</v>
      </c>
      <c r="K133" s="30" t="n">
        <f aca="false">K125+K132</f>
        <v>54.5451645194324</v>
      </c>
      <c r="L133" s="30" t="n">
        <f aca="false">L125+L132</f>
        <v>0.466221031778401</v>
      </c>
      <c r="M133" s="30" t="n">
        <f aca="false">M125+M132</f>
        <v>1.91009392875144</v>
      </c>
      <c r="N133" s="30" t="n">
        <f aca="false">N125+N132</f>
        <v>400.584764304707</v>
      </c>
    </row>
    <row r="134" customFormat="false" ht="15" hidden="false" customHeight="false" outlineLevel="0" collapsed="false">
      <c r="B134" s="9" t="s">
        <v>98</v>
      </c>
      <c r="C134" s="28" t="n">
        <f aca="false">-D133</f>
        <v>196.4783448</v>
      </c>
    </row>
    <row r="135" customFormat="false" ht="15" hidden="false" customHeight="false" outlineLevel="0" collapsed="false">
      <c r="B135" s="9" t="s">
        <v>99</v>
      </c>
      <c r="C135" s="31" t="n">
        <f aca="false">IRR(D125:N125,0.08)</f>
        <v>0.0834981151013721</v>
      </c>
    </row>
    <row r="136" customFormat="false" ht="15" hidden="false" customHeight="false" outlineLevel="0" collapsed="false">
      <c r="B136" s="29" t="s">
        <v>100</v>
      </c>
      <c r="C136" s="32" t="n">
        <f aca="false">IRR(D133:N133,0.08)</f>
        <v>0.0902018384598484</v>
      </c>
    </row>
    <row r="137" customFormat="false" ht="15" hidden="false" customHeight="false" outlineLevel="0" collapsed="false">
      <c r="B137" s="9" t="s">
        <v>101</v>
      </c>
      <c r="C137" s="22" t="n">
        <f aca="false">SUMIF(D133:N133,"&gt;0")/-SUMIF(D133:N133,"&lt;0")</f>
        <v>2.27760582434935</v>
      </c>
    </row>
    <row r="138" customFormat="false" ht="15" hidden="false" customHeight="false" outlineLevel="0" collapsed="false">
      <c r="B138" s="9" t="s">
        <v>102</v>
      </c>
      <c r="C138" s="33" t="n">
        <f aca="false">Inputs!$C$33/E116</f>
        <v>21.4373027312036</v>
      </c>
    </row>
    <row r="140" customFormat="false" ht="15" hidden="false" customHeight="false" outlineLevel="0" collapsed="false">
      <c r="B140" s="7" t="s">
        <v>114</v>
      </c>
      <c r="C140" s="8"/>
      <c r="D140" s="8"/>
      <c r="E140" s="8"/>
      <c r="F140" s="8"/>
      <c r="G140" s="8"/>
      <c r="H140" s="8"/>
      <c r="I140" s="8"/>
      <c r="J140" s="8"/>
      <c r="K140" s="8"/>
      <c r="L140" s="8"/>
      <c r="M140" s="8"/>
      <c r="N140" s="8"/>
    </row>
    <row r="141" customFormat="false" ht="15" hidden="false" customHeight="false" outlineLevel="0" collapsed="false">
      <c r="B141" s="9" t="s">
        <v>23</v>
      </c>
      <c r="C141" s="20" t="n">
        <f aca="false">Inputs!$C$12</f>
        <v>0.03</v>
      </c>
    </row>
    <row r="142" customFormat="false" ht="15" hidden="false" customHeight="false" outlineLevel="0" collapsed="false">
      <c r="B142" s="9" t="s">
        <v>34</v>
      </c>
      <c r="C142" s="21" t="n">
        <f aca="false">Inputs!$C$22</f>
        <v>40</v>
      </c>
    </row>
    <row r="143" customFormat="false" ht="15" hidden="false" customHeight="false" outlineLevel="0" collapsed="false">
      <c r="B143" s="9" t="s">
        <v>63</v>
      </c>
      <c r="C143" s="21" t="n">
        <f aca="false">Inputs!$C$15</f>
        <v>0</v>
      </c>
    </row>
    <row r="144" customFormat="false" ht="15" hidden="false" customHeight="false" outlineLevel="0" collapsed="false">
      <c r="B144" s="9" t="s">
        <v>64</v>
      </c>
      <c r="C144" s="35" t="n">
        <v>19</v>
      </c>
    </row>
    <row r="145" customFormat="false" ht="15" hidden="false" customHeight="false" outlineLevel="0" collapsed="false">
      <c r="B145" s="23" t="s">
        <v>65</v>
      </c>
      <c r="C145" s="24"/>
      <c r="D145" s="24" t="n">
        <v>0</v>
      </c>
      <c r="E145" s="24" t="n">
        <v>1</v>
      </c>
      <c r="F145" s="24" t="n">
        <v>2</v>
      </c>
      <c r="G145" s="24" t="n">
        <v>3</v>
      </c>
      <c r="H145" s="24" t="n">
        <v>4</v>
      </c>
      <c r="I145" s="24" t="n">
        <v>5</v>
      </c>
      <c r="J145" s="24" t="n">
        <v>6</v>
      </c>
      <c r="K145" s="24" t="n">
        <v>7</v>
      </c>
      <c r="L145" s="24" t="n">
        <v>8</v>
      </c>
      <c r="M145" s="24" t="n">
        <v>9</v>
      </c>
      <c r="N145" s="24" t="n">
        <v>10</v>
      </c>
    </row>
    <row r="146" customFormat="false" ht="15" hidden="false" customHeight="false" outlineLevel="0" collapsed="false">
      <c r="B146" s="9" t="s">
        <v>66</v>
      </c>
      <c r="E146" s="25" t="n">
        <f aca="false">Inputs!$C$6*$C$141</f>
        <v>25.5</v>
      </c>
      <c r="F146" s="25" t="n">
        <f aca="false">Inputs!$C$6*$C$141</f>
        <v>25.5</v>
      </c>
      <c r="G146" s="25" t="n">
        <f aca="false">Inputs!$C$6*$C$141</f>
        <v>25.5</v>
      </c>
      <c r="H146" s="25" t="n">
        <f aca="false">Inputs!$C$6*$C$141</f>
        <v>25.5</v>
      </c>
      <c r="I146" s="25" t="n">
        <f aca="false">Inputs!$C$6*$C$141</f>
        <v>25.5</v>
      </c>
      <c r="J146" s="25" t="n">
        <f aca="false">Inputs!$C$6*$C$141</f>
        <v>25.5</v>
      </c>
      <c r="K146" s="25" t="n">
        <f aca="false">Inputs!$C$6*$C$141</f>
        <v>25.5</v>
      </c>
      <c r="L146" s="25" t="n">
        <f aca="false">Inputs!$C$6*$C$141</f>
        <v>25.5</v>
      </c>
      <c r="M146" s="25" t="n">
        <f aca="false">Inputs!$C$6*$C$141</f>
        <v>25.5</v>
      </c>
      <c r="N146" s="25" t="n">
        <f aca="false">Inputs!$C$6*$C$141</f>
        <v>25.5</v>
      </c>
    </row>
    <row r="147" customFormat="false" ht="15" hidden="false" customHeight="false" outlineLevel="0" collapsed="false">
      <c r="B147" s="9" t="s">
        <v>67</v>
      </c>
      <c r="E147" s="26" t="n">
        <f aca="false">D149*Inputs!$C$13</f>
        <v>3.82</v>
      </c>
      <c r="F147" s="26" t="n">
        <f aca="false">E149*Inputs!$C$13</f>
        <v>4.0368</v>
      </c>
      <c r="G147" s="26" t="n">
        <f aca="false">F149*Inputs!$C$13</f>
        <v>4.251432</v>
      </c>
      <c r="H147" s="26" t="n">
        <f aca="false">G149*Inputs!$C$13</f>
        <v>4.46391768</v>
      </c>
      <c r="I147" s="26" t="n">
        <f aca="false">H149*Inputs!$C$13</f>
        <v>4.6742785032</v>
      </c>
      <c r="J147" s="26" t="n">
        <f aca="false">I149*Inputs!$C$13</f>
        <v>4.882535718168</v>
      </c>
      <c r="K147" s="26" t="n">
        <f aca="false">J149*Inputs!$C$13</f>
        <v>5.08871036098632</v>
      </c>
      <c r="L147" s="26" t="n">
        <f aca="false">K149*Inputs!$C$13</f>
        <v>5.29282325737646</v>
      </c>
      <c r="M147" s="26" t="n">
        <f aca="false">L149*Inputs!$C$13</f>
        <v>5.49489502480269</v>
      </c>
      <c r="N147" s="26" t="n">
        <f aca="false">M149*Inputs!$C$13</f>
        <v>5.69494607455467</v>
      </c>
    </row>
    <row r="148" customFormat="false" ht="15" hidden="false" customHeight="false" outlineLevel="0" collapsed="false">
      <c r="B148" s="9" t="s">
        <v>68</v>
      </c>
      <c r="E148" s="25" t="n">
        <f aca="false">IF(AND($C$143&gt;0,OR(E$145=Inputs!$C$14,E$145=Inputs!$C$14+1)),$C$143/2,0)</f>
        <v>0</v>
      </c>
      <c r="F148" s="25" t="n">
        <f aca="false">IF(AND($C$143&gt;0,OR(F$145=Inputs!$C$14,F$145=Inputs!$C$14+1)),$C$143/2,0)</f>
        <v>0</v>
      </c>
      <c r="G148" s="25" t="n">
        <f aca="false">IF(AND($C$143&gt;0,OR(G$145=Inputs!$C$14,G$145=Inputs!$C$14+1)),$C$143/2,0)</f>
        <v>0</v>
      </c>
      <c r="H148" s="25" t="n">
        <f aca="false">IF(AND($C$143&gt;0,OR(H$145=Inputs!$C$14,H$145=Inputs!$C$14+1)),$C$143/2,0)</f>
        <v>0</v>
      </c>
      <c r="I148" s="25" t="n">
        <f aca="false">IF(AND($C$143&gt;0,OR(I$145=Inputs!$C$14,I$145=Inputs!$C$14+1)),$C$143/2,0)</f>
        <v>0</v>
      </c>
      <c r="J148" s="25" t="n">
        <f aca="false">IF(AND($C$143&gt;0,OR(J$145=Inputs!$C$14,J$145=Inputs!$C$14+1)),$C$143/2,0)</f>
        <v>0</v>
      </c>
      <c r="K148" s="25" t="n">
        <f aca="false">IF(AND($C$143&gt;0,OR(K$145=Inputs!$C$14,K$145=Inputs!$C$14+1)),$C$143/2,0)</f>
        <v>0</v>
      </c>
      <c r="L148" s="25" t="n">
        <f aca="false">IF(AND($C$143&gt;0,OR(L$145=Inputs!$C$14,L$145=Inputs!$C$14+1)),$C$143/2,0)</f>
        <v>0</v>
      </c>
      <c r="M148" s="25" t="n">
        <f aca="false">IF(AND($C$143&gt;0,OR(M$145=Inputs!$C$14,M$145=Inputs!$C$14+1)),$C$143/2,0)</f>
        <v>0</v>
      </c>
      <c r="N148" s="25" t="n">
        <f aca="false">IF(AND($C$143&gt;0,OR(N$145=Inputs!$C$14,N$145=Inputs!$C$14+1)),$C$143/2,0)</f>
        <v>0</v>
      </c>
    </row>
    <row r="149" customFormat="false" ht="15" hidden="false" customHeight="false" outlineLevel="0" collapsed="false">
      <c r="B149" s="9" t="s">
        <v>69</v>
      </c>
      <c r="D149" s="25" t="n">
        <f aca="false">Inputs!$C$7</f>
        <v>382</v>
      </c>
      <c r="E149" s="25" t="n">
        <f aca="false">D149+E146-E147-E148</f>
        <v>403.68</v>
      </c>
      <c r="F149" s="25" t="n">
        <f aca="false">E149+F146-F147-F148</f>
        <v>425.1432</v>
      </c>
      <c r="G149" s="25" t="n">
        <f aca="false">F149+G146-G147-G148</f>
        <v>446.391768</v>
      </c>
      <c r="H149" s="25" t="n">
        <f aca="false">G149+H146-H147-H148</f>
        <v>467.42785032</v>
      </c>
      <c r="I149" s="25" t="n">
        <f aca="false">H149+I146-I147-I148</f>
        <v>488.2535718168</v>
      </c>
      <c r="J149" s="25" t="n">
        <f aca="false">I149+J146-J147-J148</f>
        <v>508.871036098632</v>
      </c>
      <c r="K149" s="25" t="n">
        <f aca="false">J149+K146-K147-K148</f>
        <v>529.282325737646</v>
      </c>
      <c r="L149" s="25" t="n">
        <f aca="false">K149+L146-L147-L148</f>
        <v>549.489502480269</v>
      </c>
      <c r="M149" s="25" t="n">
        <f aca="false">L149+M146-M147-M148</f>
        <v>569.494607455467</v>
      </c>
      <c r="N149" s="25" t="n">
        <f aca="false">M149+N146-N147-N148</f>
        <v>589.299661380912</v>
      </c>
    </row>
    <row r="150" customFormat="false" ht="15" hidden="false" customHeight="false" outlineLevel="0" collapsed="false">
      <c r="B150" s="9" t="s">
        <v>70</v>
      </c>
      <c r="E150" s="25" t="n">
        <f aca="false">(E149+D149)/2</f>
        <v>392.84</v>
      </c>
      <c r="F150" s="25" t="n">
        <f aca="false">(F149+E149)/2</f>
        <v>414.4116</v>
      </c>
      <c r="G150" s="25" t="n">
        <f aca="false">(G149+F149)/2</f>
        <v>435.767484</v>
      </c>
      <c r="H150" s="25" t="n">
        <f aca="false">(H149+G149)/2</f>
        <v>456.90980916</v>
      </c>
      <c r="I150" s="25" t="n">
        <f aca="false">(I149+H149)/2</f>
        <v>477.8407110684</v>
      </c>
      <c r="J150" s="25" t="n">
        <f aca="false">(J149+I149)/2</f>
        <v>498.562303957716</v>
      </c>
      <c r="K150" s="25" t="n">
        <f aca="false">(K149+J149)/2</f>
        <v>519.076680918139</v>
      </c>
      <c r="L150" s="25" t="n">
        <f aca="false">(L149+K149)/2</f>
        <v>539.385914108957</v>
      </c>
      <c r="M150" s="25" t="n">
        <f aca="false">(M149+L149)/2</f>
        <v>559.492054967868</v>
      </c>
      <c r="N150" s="25" t="n">
        <f aca="false">(N149+M149)/2</f>
        <v>579.397134418189</v>
      </c>
    </row>
    <row r="151" customFormat="false" ht="15" hidden="false" customHeight="false" outlineLevel="0" collapsed="false">
      <c r="B151" s="9" t="s">
        <v>71</v>
      </c>
      <c r="D151" s="26" t="n">
        <f aca="false">(Inputs!$C$6+D149)/Inputs!$C$6</f>
        <v>1.44941176470588</v>
      </c>
      <c r="E151" s="26" t="n">
        <f aca="false">(Inputs!$C$6+E149)/Inputs!$C$6</f>
        <v>1.47491764705882</v>
      </c>
      <c r="F151" s="26" t="n">
        <f aca="false">(Inputs!$C$6+F149)/Inputs!$C$6</f>
        <v>1.50016847058824</v>
      </c>
      <c r="G151" s="26" t="n">
        <f aca="false">(Inputs!$C$6+G149)/Inputs!$C$6</f>
        <v>1.52516678588235</v>
      </c>
      <c r="H151" s="26" t="n">
        <f aca="false">(Inputs!$C$6+H149)/Inputs!$C$6</f>
        <v>1.54991511802353</v>
      </c>
      <c r="I151" s="26" t="n">
        <f aca="false">(Inputs!$C$6+I149)/Inputs!$C$6</f>
        <v>1.57441596684329</v>
      </c>
      <c r="J151" s="26" t="n">
        <f aca="false">(Inputs!$C$6+J149)/Inputs!$C$6</f>
        <v>1.59867180717486</v>
      </c>
      <c r="K151" s="26" t="n">
        <f aca="false">(Inputs!$C$6+K149)/Inputs!$C$6</f>
        <v>1.62268508910311</v>
      </c>
      <c r="L151" s="26" t="n">
        <f aca="false">(Inputs!$C$6+L149)/Inputs!$C$6</f>
        <v>1.64645823821208</v>
      </c>
      <c r="M151" s="26" t="n">
        <f aca="false">(Inputs!$C$6+M149)/Inputs!$C$6</f>
        <v>1.66999365582996</v>
      </c>
      <c r="N151" s="26" t="n">
        <f aca="false">(Inputs!$C$6+N149)/Inputs!$C$6</f>
        <v>1.69329371927166</v>
      </c>
    </row>
    <row r="152" customFormat="false" ht="15" hidden="false" customHeight="false" outlineLevel="0" collapsed="false">
      <c r="B152" s="9" t="s">
        <v>72</v>
      </c>
      <c r="D152" s="27" t="n">
        <f aca="false">ROUND(Inputs!$C$6*Inputs!$C$19,0)</f>
        <v>595</v>
      </c>
      <c r="E152" s="27" t="n">
        <f aca="false">MAX(0,D152-$C$142)</f>
        <v>555</v>
      </c>
      <c r="F152" s="27" t="n">
        <f aca="false">MAX(0,E152-$C$142)</f>
        <v>515</v>
      </c>
      <c r="G152" s="27" t="n">
        <f aca="false">MAX(0,F152-$C$142)</f>
        <v>475</v>
      </c>
      <c r="H152" s="27" t="n">
        <f aca="false">MAX(0,G152-$C$142)</f>
        <v>435</v>
      </c>
      <c r="I152" s="27" t="n">
        <f aca="false">MAX(0,H152-$C$142)</f>
        <v>395</v>
      </c>
      <c r="J152" s="27" t="n">
        <f aca="false">MAX(0,I152-$C$142)</f>
        <v>355</v>
      </c>
      <c r="K152" s="27" t="n">
        <f aca="false">MAX(0,J152-$C$142)</f>
        <v>315</v>
      </c>
      <c r="L152" s="27" t="n">
        <f aca="false">MAX(0,K152-$C$142)</f>
        <v>275</v>
      </c>
      <c r="M152" s="27" t="n">
        <f aca="false">MAX(0,L152-$C$142)</f>
        <v>235</v>
      </c>
      <c r="N152" s="27" t="n">
        <f aca="false">MAX(0,M152-$C$142)</f>
        <v>195</v>
      </c>
    </row>
    <row r="153" customFormat="false" ht="15" hidden="false" customHeight="false" outlineLevel="0" collapsed="false">
      <c r="B153" s="9" t="s">
        <v>73</v>
      </c>
      <c r="E153" s="25" t="n">
        <f aca="false">(E152+D152)/2</f>
        <v>575</v>
      </c>
      <c r="F153" s="25" t="n">
        <f aca="false">(F152+E152)/2</f>
        <v>535</v>
      </c>
      <c r="G153" s="25" t="n">
        <f aca="false">(G152+F152)/2</f>
        <v>495</v>
      </c>
      <c r="H153" s="25" t="n">
        <f aca="false">(H152+G152)/2</f>
        <v>455</v>
      </c>
      <c r="I153" s="25" t="n">
        <f aca="false">(I152+H152)/2</f>
        <v>415</v>
      </c>
      <c r="J153" s="25" t="n">
        <f aca="false">(J152+I152)/2</f>
        <v>375</v>
      </c>
      <c r="K153" s="25" t="n">
        <f aca="false">(K152+J152)/2</f>
        <v>335</v>
      </c>
      <c r="L153" s="25" t="n">
        <f aca="false">(L152+K152)/2</f>
        <v>295</v>
      </c>
      <c r="M153" s="25" t="n">
        <f aca="false">(M152+L152)/2</f>
        <v>255</v>
      </c>
      <c r="N153" s="25" t="n">
        <f aca="false">(N152+M152)/2</f>
        <v>215</v>
      </c>
    </row>
    <row r="154" customFormat="false" ht="15" hidden="false" customHeight="false" outlineLevel="0" collapsed="false">
      <c r="B154" s="9" t="s">
        <v>74</v>
      </c>
      <c r="E154" s="28" t="n">
        <f aca="false">Inputs!$C$6*Inputs!$C$8*12*(1+Inputs!$C$9)^(E$145-1)/1000000</f>
        <v>20.91</v>
      </c>
      <c r="F154" s="28" t="n">
        <f aca="false">Inputs!$C$6*Inputs!$C$8*12*(1+Inputs!$C$9)^(F$145-1)/1000000</f>
        <v>21.43275</v>
      </c>
      <c r="G154" s="28" t="n">
        <f aca="false">Inputs!$C$6*Inputs!$C$8*12*(1+Inputs!$C$9)^(G$145-1)/1000000</f>
        <v>21.96856875</v>
      </c>
      <c r="H154" s="28" t="n">
        <f aca="false">Inputs!$C$6*Inputs!$C$8*12*(1+Inputs!$C$9)^(H$145-1)/1000000</f>
        <v>22.51778296875</v>
      </c>
      <c r="I154" s="28" t="n">
        <f aca="false">Inputs!$C$6*Inputs!$C$8*12*(1+Inputs!$C$9)^(I$145-1)/1000000</f>
        <v>23.0807275429687</v>
      </c>
      <c r="J154" s="28" t="n">
        <f aca="false">Inputs!$C$6*Inputs!$C$8*12*(1+Inputs!$C$9)^(J$145-1)/1000000</f>
        <v>23.657745731543</v>
      </c>
      <c r="K154" s="28" t="n">
        <f aca="false">Inputs!$C$6*Inputs!$C$8*12*(1+Inputs!$C$9)^(K$145-1)/1000000</f>
        <v>24.2491893748315</v>
      </c>
      <c r="L154" s="28" t="n">
        <f aca="false">Inputs!$C$6*Inputs!$C$8*12*(1+Inputs!$C$9)^(L$145-1)/1000000</f>
        <v>24.8554191092023</v>
      </c>
      <c r="M154" s="28" t="n">
        <f aca="false">Inputs!$C$6*Inputs!$C$8*12*(1+Inputs!$C$9)^(M$145-1)/1000000</f>
        <v>25.4768045869324</v>
      </c>
      <c r="N154" s="28" t="n">
        <f aca="false">Inputs!$C$6*Inputs!$C$8*12*(1+Inputs!$C$9)^(N$145-1)/1000000</f>
        <v>26.1137247016057</v>
      </c>
    </row>
    <row r="155" customFormat="false" ht="15" hidden="false" customHeight="false" outlineLevel="0" collapsed="false">
      <c r="B155" s="9" t="s">
        <v>75</v>
      </c>
      <c r="E155" s="28" t="n">
        <f aca="false">E150*Inputs!$C$10*12*(1+Inputs!$C$11)^(E$145-1)/1000000</f>
        <v>8.24964</v>
      </c>
      <c r="F155" s="28" t="n">
        <f aca="false">F150*Inputs!$C$10*12*(1+Inputs!$C$11)^(F$145-1)/1000000</f>
        <v>8.963722908</v>
      </c>
      <c r="G155" s="28" t="n">
        <f aca="false">G150*Inputs!$C$10*12*(1+Inputs!$C$11)^(G$145-1)/1000000</f>
        <v>9.7084201992876</v>
      </c>
      <c r="H155" s="28" t="n">
        <f aca="false">H150*Inputs!$C$10*12*(1+Inputs!$C$11)^(H$145-1)/1000000</f>
        <v>10.4848313857136</v>
      </c>
      <c r="I155" s="28" t="n">
        <f aca="false">I150*Inputs!$C$10*12*(1+Inputs!$C$11)^(I$145-1)/1000000</f>
        <v>11.2940925317671</v>
      </c>
      <c r="J155" s="28" t="n">
        <f aca="false">J150*Inputs!$C$10*12*(1+Inputs!$C$11)^(J$145-1)/1000000</f>
        <v>12.1373774214306</v>
      </c>
      <c r="K155" s="28" t="n">
        <f aca="false">K150*Inputs!$C$10*12*(1+Inputs!$C$11)^(K$145-1)/1000000</f>
        <v>13.015898761424</v>
      </c>
      <c r="L155" s="28" t="n">
        <f aca="false">L150*Inputs!$C$10*12*(1+Inputs!$C$11)^(L$145-1)/1000000</f>
        <v>13.9309094219591</v>
      </c>
      <c r="M155" s="28" t="n">
        <f aca="false">M150*Inputs!$C$10*12*(1+Inputs!$C$11)^(M$145-1)/1000000</f>
        <v>14.8837037161548</v>
      </c>
      <c r="N155" s="28" t="n">
        <f aca="false">N150*Inputs!$C$10*12*(1+Inputs!$C$11)^(N$145-1)/1000000</f>
        <v>15.8756187193036</v>
      </c>
    </row>
    <row r="156" customFormat="false" ht="15" hidden="false" customHeight="false" outlineLevel="0" collapsed="false">
      <c r="B156" s="9" t="s">
        <v>76</v>
      </c>
      <c r="E156" s="28" t="n">
        <f aca="false">E154+E155</f>
        <v>29.15964</v>
      </c>
      <c r="F156" s="28" t="n">
        <f aca="false">F154+F155</f>
        <v>30.396472908</v>
      </c>
      <c r="G156" s="28" t="n">
        <f aca="false">G154+G155</f>
        <v>31.6769889492876</v>
      </c>
      <c r="H156" s="28" t="n">
        <f aca="false">H154+H155</f>
        <v>33.0026143544636</v>
      </c>
      <c r="I156" s="28" t="n">
        <f aca="false">I154+I155</f>
        <v>34.3748200747359</v>
      </c>
      <c r="J156" s="28" t="n">
        <f aca="false">J154+J155</f>
        <v>35.7951231529735</v>
      </c>
      <c r="K156" s="28" t="n">
        <f aca="false">K154+K155</f>
        <v>37.2650881362556</v>
      </c>
      <c r="L156" s="28" t="n">
        <f aca="false">L154+L155</f>
        <v>38.7863285311614</v>
      </c>
      <c r="M156" s="28" t="n">
        <f aca="false">M154+M155</f>
        <v>40.3605083030872</v>
      </c>
      <c r="N156" s="28" t="n">
        <f aca="false">N154+N155</f>
        <v>41.9893434209093</v>
      </c>
    </row>
    <row r="157" customFormat="false" ht="15" hidden="false" customHeight="false" outlineLevel="0" collapsed="false">
      <c r="B157" s="9" t="s">
        <v>77</v>
      </c>
      <c r="E157" s="28" t="n">
        <f aca="false">Inputs!$C$20*12*(1+Inputs!$C$21)^(E$145-1)</f>
        <v>13800</v>
      </c>
      <c r="F157" s="28" t="n">
        <f aca="false">Inputs!$C$20*12*(1+Inputs!$C$21)^(F$145-1)</f>
        <v>14214</v>
      </c>
      <c r="G157" s="28" t="n">
        <f aca="false">Inputs!$C$20*12*(1+Inputs!$C$21)^(G$145-1)</f>
        <v>14640.42</v>
      </c>
      <c r="H157" s="28" t="n">
        <f aca="false">Inputs!$C$20*12*(1+Inputs!$C$21)^(H$145-1)</f>
        <v>15079.6326</v>
      </c>
      <c r="I157" s="28" t="n">
        <f aca="false">Inputs!$C$20*12*(1+Inputs!$C$21)^(I$145-1)</f>
        <v>15532.021578</v>
      </c>
      <c r="J157" s="28" t="n">
        <f aca="false">Inputs!$C$20*12*(1+Inputs!$C$21)^(J$145-1)</f>
        <v>15997.98222534</v>
      </c>
      <c r="K157" s="28" t="n">
        <f aca="false">Inputs!$C$20*12*(1+Inputs!$C$21)^(K$145-1)</f>
        <v>16477.9216921002</v>
      </c>
      <c r="L157" s="28" t="n">
        <f aca="false">Inputs!$C$20*12*(1+Inputs!$C$21)^(L$145-1)</f>
        <v>16972.2593428632</v>
      </c>
      <c r="M157" s="28" t="n">
        <f aca="false">Inputs!$C$20*12*(1+Inputs!$C$21)^(M$145-1)</f>
        <v>17481.4271231491</v>
      </c>
      <c r="N157" s="28" t="n">
        <f aca="false">Inputs!$C$20*12*(1+Inputs!$C$21)^(N$145-1)</f>
        <v>18005.8699368436</v>
      </c>
    </row>
    <row r="158" customFormat="false" ht="15" hidden="false" customHeight="false" outlineLevel="0" collapsed="false">
      <c r="B158" s="9" t="s">
        <v>78</v>
      </c>
      <c r="E158" s="28" t="n">
        <f aca="false">E153*E157/1000000</f>
        <v>7.935</v>
      </c>
      <c r="F158" s="28" t="n">
        <f aca="false">F153*F157/1000000</f>
        <v>7.60449</v>
      </c>
      <c r="G158" s="28" t="n">
        <f aca="false">G153*G157/1000000</f>
        <v>7.2470079</v>
      </c>
      <c r="H158" s="28" t="n">
        <f aca="false">H153*H157/1000000</f>
        <v>6.861232833</v>
      </c>
      <c r="I158" s="28" t="n">
        <f aca="false">I153*I157/1000000</f>
        <v>6.44578895487</v>
      </c>
      <c r="J158" s="28" t="n">
        <f aca="false">J153*J157/1000000</f>
        <v>5.9992433345025</v>
      </c>
      <c r="K158" s="28" t="n">
        <f aca="false">K153*K157/1000000</f>
        <v>5.52010376685357</v>
      </c>
      <c r="L158" s="28" t="n">
        <f aca="false">L153*L157/1000000</f>
        <v>5.00681650614465</v>
      </c>
      <c r="M158" s="28" t="n">
        <f aca="false">M153*M157/1000000</f>
        <v>4.45776391640302</v>
      </c>
      <c r="N158" s="28" t="n">
        <f aca="false">N153*N157/1000000</f>
        <v>3.87126203642137</v>
      </c>
    </row>
    <row r="159" customFormat="false" ht="15" hidden="false" customHeight="false" outlineLevel="0" collapsed="false">
      <c r="B159" s="9" t="s">
        <v>79</v>
      </c>
      <c r="E159" s="28" t="n">
        <f aca="false">Inputs!$C$6*Inputs!$C$24*12*(1+Inputs!$C$25)^(E$145-1)/1000000</f>
        <v>3.57</v>
      </c>
      <c r="F159" s="28" t="n">
        <f aca="false">Inputs!$C$6*Inputs!$C$24*12*(1+Inputs!$C$25)^(F$145-1)/1000000</f>
        <v>3.65925</v>
      </c>
      <c r="G159" s="28" t="n">
        <f aca="false">Inputs!$C$6*Inputs!$C$24*12*(1+Inputs!$C$25)^(G$145-1)/1000000</f>
        <v>3.75073125</v>
      </c>
      <c r="H159" s="28" t="n">
        <f aca="false">Inputs!$C$6*Inputs!$C$24*12*(1+Inputs!$C$25)^(H$145-1)/1000000</f>
        <v>3.84449953125</v>
      </c>
      <c r="I159" s="28" t="n">
        <f aca="false">Inputs!$C$6*Inputs!$C$24*12*(1+Inputs!$C$25)^(I$145-1)/1000000</f>
        <v>3.94061201953125</v>
      </c>
      <c r="J159" s="28" t="n">
        <f aca="false">Inputs!$C$6*Inputs!$C$24*12*(1+Inputs!$C$25)^(J$145-1)/1000000</f>
        <v>4.03912732001953</v>
      </c>
      <c r="K159" s="28" t="n">
        <f aca="false">Inputs!$C$6*Inputs!$C$24*12*(1+Inputs!$C$25)^(K$145-1)/1000000</f>
        <v>4.14010550302002</v>
      </c>
      <c r="L159" s="28" t="n">
        <f aca="false">Inputs!$C$6*Inputs!$C$24*12*(1+Inputs!$C$25)^(L$145-1)/1000000</f>
        <v>4.24360814059552</v>
      </c>
      <c r="M159" s="28" t="n">
        <f aca="false">Inputs!$C$6*Inputs!$C$24*12*(1+Inputs!$C$25)^(M$145-1)/1000000</f>
        <v>4.34969834411041</v>
      </c>
      <c r="N159" s="28" t="n">
        <f aca="false">Inputs!$C$6*Inputs!$C$24*12*(1+Inputs!$C$25)^(N$145-1)/1000000</f>
        <v>4.45844080271317</v>
      </c>
    </row>
    <row r="160" customFormat="false" ht="15" hidden="false" customHeight="false" outlineLevel="0" collapsed="false">
      <c r="B160" s="9" t="s">
        <v>80</v>
      </c>
      <c r="E160" s="28" t="n">
        <f aca="false">Inputs!$C$26*(1+Inputs!$C$27)^(E$145-1)</f>
        <v>4.5</v>
      </c>
      <c r="F160" s="28" t="n">
        <f aca="false">Inputs!$C$26*(1+Inputs!$C$27)^(F$145-1)</f>
        <v>4.635</v>
      </c>
      <c r="G160" s="28" t="n">
        <f aca="false">Inputs!$C$26*(1+Inputs!$C$27)^(G$145-1)</f>
        <v>4.77405</v>
      </c>
      <c r="H160" s="28" t="n">
        <f aca="false">Inputs!$C$26*(1+Inputs!$C$27)^(H$145-1)</f>
        <v>4.9172715</v>
      </c>
      <c r="I160" s="28" t="n">
        <f aca="false">Inputs!$C$26*(1+Inputs!$C$27)^(I$145-1)</f>
        <v>5.064789645</v>
      </c>
      <c r="J160" s="28" t="n">
        <f aca="false">Inputs!$C$26*(1+Inputs!$C$27)^(J$145-1)</f>
        <v>5.21673333435</v>
      </c>
      <c r="K160" s="28" t="n">
        <f aca="false">Inputs!$C$26*(1+Inputs!$C$27)^(K$145-1)</f>
        <v>5.3732353343805</v>
      </c>
      <c r="L160" s="28" t="n">
        <f aca="false">Inputs!$C$26*(1+Inputs!$C$27)^(L$145-1)</f>
        <v>5.53443239441192</v>
      </c>
      <c r="M160" s="28" t="n">
        <f aca="false">Inputs!$C$26*(1+Inputs!$C$27)^(M$145-1)</f>
        <v>5.70046536624427</v>
      </c>
      <c r="N160" s="28" t="n">
        <f aca="false">Inputs!$C$26*(1+Inputs!$C$27)^(N$145-1)</f>
        <v>5.8714793272316</v>
      </c>
    </row>
    <row r="161" customFormat="false" ht="15" hidden="false" customHeight="false" outlineLevel="0" collapsed="false">
      <c r="B161" s="29" t="s">
        <v>81</v>
      </c>
      <c r="E161" s="30" t="n">
        <f aca="false">E156-E158-E159-E160</f>
        <v>13.15464</v>
      </c>
      <c r="F161" s="30" t="n">
        <f aca="false">F156-F158-F159-F160</f>
        <v>14.497732908</v>
      </c>
      <c r="G161" s="30" t="n">
        <f aca="false">G156-G158-G159-G160</f>
        <v>15.9051997992876</v>
      </c>
      <c r="H161" s="30" t="n">
        <f aca="false">H156-H158-H159-H160</f>
        <v>17.3796104902136</v>
      </c>
      <c r="I161" s="30" t="n">
        <f aca="false">I156-I158-I159-I160</f>
        <v>18.9236294553346</v>
      </c>
      <c r="J161" s="30" t="n">
        <f aca="false">J156-J158-J159-J160</f>
        <v>20.5400191641015</v>
      </c>
      <c r="K161" s="30" t="n">
        <f aca="false">K156-K158-K159-K160</f>
        <v>22.2316435320015</v>
      </c>
      <c r="L161" s="30" t="n">
        <f aca="false">L156-L158-L159-L160</f>
        <v>24.0014714900094</v>
      </c>
      <c r="M161" s="30" t="n">
        <f aca="false">M156-M158-M159-M160</f>
        <v>25.8525806763295</v>
      </c>
      <c r="N161" s="30" t="n">
        <f aca="false">N156-N158-N159-N160</f>
        <v>27.7881612545431</v>
      </c>
    </row>
    <row r="162" customFormat="false" ht="15" hidden="false" customHeight="false" outlineLevel="0" collapsed="false">
      <c r="B162" s="9" t="s">
        <v>82</v>
      </c>
      <c r="E162" s="28" t="n">
        <f aca="false">Inputs!$C$6*Inputs!$C$28*(1+Inputs!$C$29)^(E$145-1)/1000000</f>
        <v>1.02</v>
      </c>
      <c r="F162" s="28" t="n">
        <f aca="false">Inputs!$C$6*Inputs!$C$28*(1+Inputs!$C$29)^(F$145-1)/1000000</f>
        <v>1.0506</v>
      </c>
      <c r="G162" s="28" t="n">
        <f aca="false">Inputs!$C$6*Inputs!$C$28*(1+Inputs!$C$29)^(G$145-1)/1000000</f>
        <v>1.082118</v>
      </c>
      <c r="H162" s="28" t="n">
        <f aca="false">Inputs!$C$6*Inputs!$C$28*(1+Inputs!$C$29)^(H$145-1)/1000000</f>
        <v>1.11458154</v>
      </c>
      <c r="I162" s="28" t="n">
        <f aca="false">Inputs!$C$6*Inputs!$C$28*(1+Inputs!$C$29)^(I$145-1)/1000000</f>
        <v>1.1480189862</v>
      </c>
      <c r="J162" s="28" t="n">
        <f aca="false">Inputs!$C$6*Inputs!$C$28*(1+Inputs!$C$29)^(J$145-1)/1000000</f>
        <v>1.182459555786</v>
      </c>
      <c r="K162" s="28" t="n">
        <f aca="false">Inputs!$C$6*Inputs!$C$28*(1+Inputs!$C$29)^(K$145-1)/1000000</f>
        <v>1.21793334245958</v>
      </c>
      <c r="L162" s="28" t="n">
        <f aca="false">Inputs!$C$6*Inputs!$C$28*(1+Inputs!$C$29)^(L$145-1)/1000000</f>
        <v>1.25447134273337</v>
      </c>
      <c r="M162" s="28" t="n">
        <f aca="false">Inputs!$C$6*Inputs!$C$28*(1+Inputs!$C$29)^(M$145-1)/1000000</f>
        <v>1.29210548301537</v>
      </c>
      <c r="N162" s="28" t="n">
        <f aca="false">Inputs!$C$6*Inputs!$C$28*(1+Inputs!$C$29)^(N$145-1)/1000000</f>
        <v>1.33086864750583</v>
      </c>
    </row>
    <row r="163" customFormat="false" ht="15" hidden="false" customHeight="false" outlineLevel="0" collapsed="false">
      <c r="B163" s="9" t="s">
        <v>83</v>
      </c>
      <c r="E163" s="28" t="n">
        <f aca="false">E146*Inputs!$C$30*(1+Inputs!$C$29)^(E$145-1)/1000000</f>
        <v>0.3825</v>
      </c>
      <c r="F163" s="28" t="n">
        <f aca="false">F146*Inputs!$C$30*(1+Inputs!$C$29)^(F$145-1)/1000000</f>
        <v>0.393975</v>
      </c>
      <c r="G163" s="28" t="n">
        <f aca="false">G146*Inputs!$C$30*(1+Inputs!$C$29)^(G$145-1)/1000000</f>
        <v>0.40579425</v>
      </c>
      <c r="H163" s="28" t="n">
        <f aca="false">H146*Inputs!$C$30*(1+Inputs!$C$29)^(H$145-1)/1000000</f>
        <v>0.4179680775</v>
      </c>
      <c r="I163" s="28" t="n">
        <f aca="false">I146*Inputs!$C$30*(1+Inputs!$C$29)^(I$145-1)/1000000</f>
        <v>0.430507119825</v>
      </c>
      <c r="J163" s="28" t="n">
        <f aca="false">J146*Inputs!$C$30*(1+Inputs!$C$29)^(J$145-1)/1000000</f>
        <v>0.44342233341975</v>
      </c>
      <c r="K163" s="28" t="n">
        <f aca="false">K146*Inputs!$C$30*(1+Inputs!$C$29)^(K$145-1)/1000000</f>
        <v>0.456725003422343</v>
      </c>
      <c r="L163" s="28" t="n">
        <f aca="false">L146*Inputs!$C$30*(1+Inputs!$C$29)^(L$145-1)/1000000</f>
        <v>0.470426753525013</v>
      </c>
      <c r="M163" s="28" t="n">
        <f aca="false">M146*Inputs!$C$30*(1+Inputs!$C$29)^(M$145-1)/1000000</f>
        <v>0.484539556130763</v>
      </c>
      <c r="N163" s="28" t="n">
        <f aca="false">N146*Inputs!$C$30*(1+Inputs!$C$29)^(N$145-1)/1000000</f>
        <v>0.499075742814686</v>
      </c>
    </row>
    <row r="164" customFormat="false" ht="15" hidden="false" customHeight="false" outlineLevel="0" collapsed="false">
      <c r="B164" s="9" t="s">
        <v>84</v>
      </c>
      <c r="E164" s="28" t="n">
        <f aca="false">(D152-E152)*E157*Inputs!$C$23/1000000</f>
        <v>8.832</v>
      </c>
      <c r="F164" s="28" t="n">
        <f aca="false">(E152-F152)*F157*Inputs!$C$23/1000000</f>
        <v>9.09696</v>
      </c>
      <c r="G164" s="28" t="n">
        <f aca="false">(F152-G152)*G157*Inputs!$C$23/1000000</f>
        <v>9.3698688</v>
      </c>
      <c r="H164" s="28" t="n">
        <f aca="false">(G152-H152)*H157*Inputs!$C$23/1000000</f>
        <v>9.650964864</v>
      </c>
      <c r="I164" s="28" t="n">
        <f aca="false">(H152-I152)*I157*Inputs!$C$23/1000000</f>
        <v>9.94049380992</v>
      </c>
      <c r="J164" s="28" t="n">
        <f aca="false">(I152-J152)*J157*Inputs!$C$23/1000000</f>
        <v>10.2387086242176</v>
      </c>
      <c r="K164" s="28" t="n">
        <f aca="false">(J152-K152)*K157*Inputs!$C$23/1000000</f>
        <v>10.5458698829441</v>
      </c>
      <c r="L164" s="28" t="n">
        <f aca="false">(K152-L152)*L157*Inputs!$C$23/1000000</f>
        <v>10.8622459794325</v>
      </c>
      <c r="M164" s="28" t="n">
        <f aca="false">(L152-M152)*M157*Inputs!$C$23/1000000</f>
        <v>11.1881133588154</v>
      </c>
      <c r="N164" s="28" t="n">
        <f aca="false">(M152-N152)*N157*Inputs!$C$23/1000000</f>
        <v>11.5237567595799</v>
      </c>
    </row>
    <row r="165" customFormat="false" ht="15" hidden="false" customHeight="false" outlineLevel="0" collapsed="false">
      <c r="B165" s="29" t="s">
        <v>85</v>
      </c>
      <c r="E165" s="30" t="n">
        <f aca="false">E161-E162-E163-E164</f>
        <v>2.92014</v>
      </c>
      <c r="F165" s="30" t="n">
        <f aca="false">F161-F162-F163-F164</f>
        <v>3.956197908</v>
      </c>
      <c r="G165" s="30" t="n">
        <f aca="false">G161-G162-G163-G164</f>
        <v>5.0474187492876</v>
      </c>
      <c r="H165" s="30" t="n">
        <f aca="false">H161-H162-H163-H164</f>
        <v>6.19609600871356</v>
      </c>
      <c r="I165" s="30" t="n">
        <f aca="false">I161-I162-I163-I164</f>
        <v>7.40460953938962</v>
      </c>
      <c r="J165" s="30" t="n">
        <f aca="false">J161-J162-J163-J164</f>
        <v>8.67542865067816</v>
      </c>
      <c r="K165" s="30" t="n">
        <f aca="false">K161-K162-K163-K164</f>
        <v>10.0111153031754</v>
      </c>
      <c r="L165" s="30" t="n">
        <f aca="false">L161-L162-L163-L164</f>
        <v>11.4143274143185</v>
      </c>
      <c r="M165" s="30" t="n">
        <f aca="false">M161-M162-M163-M164</f>
        <v>12.8878222783679</v>
      </c>
      <c r="N165" s="30" t="n">
        <f aca="false">N161-N162-N163-N164</f>
        <v>14.4344601046427</v>
      </c>
    </row>
    <row r="166" customFormat="false" ht="15" hidden="false" customHeight="false" outlineLevel="0" collapsed="false">
      <c r="B166" s="9" t="s">
        <v>86</v>
      </c>
      <c r="C166" s="28" t="n">
        <f aca="false">Inputs!$C$33*(1+Inputs!$C$34)</f>
        <v>287.64</v>
      </c>
    </row>
    <row r="167" customFormat="false" ht="15" hidden="false" customHeight="false" outlineLevel="0" collapsed="false">
      <c r="B167" s="29" t="s">
        <v>87</v>
      </c>
      <c r="C167" s="30" t="n">
        <f aca="false">N161*$C$144*(1-Inputs!$C$36)</f>
        <v>520.055437878775</v>
      </c>
    </row>
    <row r="168" customFormat="false" ht="15" hidden="false" customHeight="false" outlineLevel="0" collapsed="false">
      <c r="B168" s="9" t="s">
        <v>88</v>
      </c>
      <c r="C168" s="28" t="n">
        <f aca="false">Inputs!$C$37*E161</f>
        <v>92.08248</v>
      </c>
    </row>
    <row r="169" customFormat="false" ht="15" hidden="false" customHeight="false" outlineLevel="0" collapsed="false">
      <c r="B169" s="9" t="s">
        <v>89</v>
      </c>
      <c r="C169" s="28" t="n">
        <f aca="false">Inputs!$C$40*INDEX(E161:N161,Inputs!$C$39)</f>
        <v>155.62150472401</v>
      </c>
    </row>
    <row r="170" customFormat="false" ht="15" hidden="false" customHeight="false" outlineLevel="0" collapsed="false">
      <c r="B170" s="29" t="s">
        <v>90</v>
      </c>
      <c r="D170" s="30" t="n">
        <f aca="false">-$C$166</f>
        <v>-287.64</v>
      </c>
      <c r="E170" s="30" t="n">
        <f aca="false">E165</f>
        <v>2.92014</v>
      </c>
      <c r="F170" s="30" t="n">
        <f aca="false">F165</f>
        <v>3.956197908</v>
      </c>
      <c r="G170" s="30" t="n">
        <f aca="false">G165</f>
        <v>5.0474187492876</v>
      </c>
      <c r="H170" s="30" t="n">
        <f aca="false">H165</f>
        <v>6.19609600871356</v>
      </c>
      <c r="I170" s="30" t="n">
        <f aca="false">I165</f>
        <v>7.40460953938962</v>
      </c>
      <c r="J170" s="30" t="n">
        <f aca="false">J165</f>
        <v>8.67542865067816</v>
      </c>
      <c r="K170" s="30" t="n">
        <f aca="false">K165</f>
        <v>10.0111153031754</v>
      </c>
      <c r="L170" s="30" t="n">
        <f aca="false">L165</f>
        <v>11.4143274143185</v>
      </c>
      <c r="M170" s="30" t="n">
        <f aca="false">M165</f>
        <v>12.8878222783679</v>
      </c>
      <c r="N170" s="30" t="n">
        <f aca="false">N165+$C$167</f>
        <v>534.489897983418</v>
      </c>
    </row>
    <row r="172" customFormat="false" ht="15" hidden="false" customHeight="false" outlineLevel="0" collapsed="false">
      <c r="B172" s="23" t="s">
        <v>91</v>
      </c>
      <c r="C172" s="24"/>
      <c r="D172" s="24" t="n">
        <v>0</v>
      </c>
      <c r="E172" s="24" t="n">
        <v>1</v>
      </c>
      <c r="F172" s="24" t="n">
        <v>2</v>
      </c>
      <c r="G172" s="24" t="n">
        <v>3</v>
      </c>
      <c r="H172" s="24" t="n">
        <v>4</v>
      </c>
      <c r="I172" s="24" t="n">
        <v>5</v>
      </c>
      <c r="J172" s="24" t="n">
        <v>6</v>
      </c>
      <c r="K172" s="24" t="n">
        <v>7</v>
      </c>
      <c r="L172" s="24" t="n">
        <v>8</v>
      </c>
      <c r="M172" s="24" t="n">
        <v>9</v>
      </c>
      <c r="N172" s="24" t="n">
        <v>10</v>
      </c>
    </row>
    <row r="173" customFormat="false" ht="15" hidden="false" customHeight="false" outlineLevel="0" collapsed="false">
      <c r="B173" s="9" t="s">
        <v>92</v>
      </c>
      <c r="E173" s="28" t="n">
        <f aca="false">IF(E$172&lt;Inputs!$C$39,$C$168,$C$169)</f>
        <v>92.08248</v>
      </c>
      <c r="F173" s="28" t="n">
        <f aca="false">IF(F$172&lt;Inputs!$C$39,$C$168,$C$169)</f>
        <v>92.08248</v>
      </c>
      <c r="G173" s="28" t="n">
        <f aca="false">IF(G$172&lt;Inputs!$C$39,$C$168,$C$169)</f>
        <v>92.08248</v>
      </c>
      <c r="H173" s="28" t="n">
        <f aca="false">IF(H$172&lt;Inputs!$C$39,$C$168,$C$169)</f>
        <v>92.08248</v>
      </c>
      <c r="I173" s="28" t="n">
        <f aca="false">IF(I$172&lt;Inputs!$C$39,$C$168,$C$169)</f>
        <v>92.08248</v>
      </c>
      <c r="J173" s="28" t="n">
        <f aca="false">IF(J$172&lt;Inputs!$C$39,$C$168,$C$169)</f>
        <v>92.08248</v>
      </c>
      <c r="K173" s="28" t="n">
        <f aca="false">IF(K$172&lt;Inputs!$C$39,$C$168,$C$169)</f>
        <v>155.62150472401</v>
      </c>
      <c r="L173" s="28" t="n">
        <f aca="false">IF(L$172&lt;Inputs!$C$39,$C$168,$C$169)</f>
        <v>155.62150472401</v>
      </c>
      <c r="M173" s="28" t="n">
        <f aca="false">IF(M$172&lt;Inputs!$C$39,$C$168,$C$169)</f>
        <v>155.62150472401</v>
      </c>
      <c r="N173" s="28" t="n">
        <f aca="false">IF(N$172&lt;Inputs!$C$39,$C$168,$C$169)</f>
        <v>155.62150472401</v>
      </c>
    </row>
    <row r="174" customFormat="false" ht="15" hidden="false" customHeight="false" outlineLevel="0" collapsed="false">
      <c r="B174" s="9" t="s">
        <v>93</v>
      </c>
      <c r="E174" s="28" t="n">
        <f aca="false">IF(E$172&lt;=Inputs!$C$39,$C$168*Inputs!$C$38,$C$169*Inputs!$C$41)</f>
        <v>5.755155</v>
      </c>
      <c r="F174" s="28" t="n">
        <f aca="false">IF(F$172&lt;=Inputs!$C$39,$C$168*Inputs!$C$38,$C$169*Inputs!$C$41)</f>
        <v>5.755155</v>
      </c>
      <c r="G174" s="28" t="n">
        <f aca="false">IF(G$172&lt;=Inputs!$C$39,$C$168*Inputs!$C$38,$C$169*Inputs!$C$41)</f>
        <v>5.755155</v>
      </c>
      <c r="H174" s="28" t="n">
        <f aca="false">IF(H$172&lt;=Inputs!$C$39,$C$168*Inputs!$C$38,$C$169*Inputs!$C$41)</f>
        <v>5.755155</v>
      </c>
      <c r="I174" s="28" t="n">
        <f aca="false">IF(I$172&lt;=Inputs!$C$39,$C$168*Inputs!$C$38,$C$169*Inputs!$C$41)</f>
        <v>5.755155</v>
      </c>
      <c r="J174" s="28" t="n">
        <f aca="false">IF(J$172&lt;=Inputs!$C$39,$C$168*Inputs!$C$38,$C$169*Inputs!$C$41)</f>
        <v>5.755155</v>
      </c>
      <c r="K174" s="28" t="n">
        <f aca="false">IF(K$172&lt;=Inputs!$C$39,$C$168*Inputs!$C$38,$C$169*Inputs!$C$41)</f>
        <v>5.755155</v>
      </c>
      <c r="L174" s="28" t="n">
        <f aca="false">IF(L$172&lt;=Inputs!$C$39,$C$168*Inputs!$C$38,$C$169*Inputs!$C$41)</f>
        <v>10.1153978070607</v>
      </c>
      <c r="M174" s="28" t="n">
        <f aca="false">IF(M$172&lt;=Inputs!$C$39,$C$168*Inputs!$C$38,$C$169*Inputs!$C$41)</f>
        <v>10.1153978070607</v>
      </c>
      <c r="N174" s="28" t="n">
        <f aca="false">IF(N$172&lt;=Inputs!$C$39,$C$168*Inputs!$C$38,$C$169*Inputs!$C$41)</f>
        <v>10.1153978070607</v>
      </c>
    </row>
    <row r="175" customFormat="false" ht="15" hidden="false" customHeight="false" outlineLevel="0" collapsed="false">
      <c r="B175" s="9" t="s">
        <v>94</v>
      </c>
      <c r="E175" s="26" t="n">
        <f aca="false">E173/E161</f>
        <v>7</v>
      </c>
      <c r="F175" s="26" t="n">
        <f aca="false">F173/F161</f>
        <v>6.35150892793645</v>
      </c>
      <c r="G175" s="26" t="n">
        <f aca="false">G173/G161</f>
        <v>5.78945760895908</v>
      </c>
      <c r="H175" s="26" t="n">
        <f aca="false">H173/H161</f>
        <v>5.29830516350476</v>
      </c>
      <c r="I175" s="26" t="n">
        <f aca="false">I173/I161</f>
        <v>4.8660052352717</v>
      </c>
      <c r="J175" s="26" t="n">
        <f aca="false">J173/J161</f>
        <v>4.48307663514432</v>
      </c>
      <c r="K175" s="26" t="n">
        <f aca="false">K173/K161</f>
        <v>7</v>
      </c>
      <c r="L175" s="26" t="n">
        <f aca="false">L173/L161</f>
        <v>6.48383182626066</v>
      </c>
      <c r="M175" s="26" t="n">
        <f aca="false">M173/M161</f>
        <v>6.01957331348731</v>
      </c>
      <c r="N175" s="26" t="n">
        <f aca="false">N173/N161</f>
        <v>5.60028075620036</v>
      </c>
    </row>
    <row r="176" customFormat="false" ht="15" hidden="false" customHeight="false" outlineLevel="0" collapsed="false">
      <c r="B176" s="9" t="s">
        <v>95</v>
      </c>
      <c r="E176" s="26" t="n">
        <f aca="false">E161/E174</f>
        <v>2.28571428571429</v>
      </c>
      <c r="F176" s="26" t="n">
        <f aca="false">F161/F174</f>
        <v>2.51908643781097</v>
      </c>
      <c r="G176" s="26" t="n">
        <f aca="false">G161/G174</f>
        <v>2.7636440372653</v>
      </c>
      <c r="H176" s="26" t="n">
        <f aca="false">H161/H174</f>
        <v>3.01983360834131</v>
      </c>
      <c r="I176" s="26" t="n">
        <f aca="false">I161/I174</f>
        <v>3.28811812285414</v>
      </c>
      <c r="J176" s="26" t="n">
        <f aca="false">J161/J174</f>
        <v>3.56897757994381</v>
      </c>
      <c r="K176" s="26" t="n">
        <f aca="false">K161/K174</f>
        <v>3.86290960573633</v>
      </c>
      <c r="L176" s="26" t="n">
        <f aca="false">L161/L174</f>
        <v>2.37276595026802</v>
      </c>
      <c r="M176" s="26" t="n">
        <f aca="false">M161/M174</f>
        <v>2.55576509885593</v>
      </c>
      <c r="N176" s="26" t="n">
        <f aca="false">N161/N174</f>
        <v>2.7471150205429</v>
      </c>
    </row>
    <row r="177" customFormat="false" ht="15" hidden="false" customHeight="false" outlineLevel="0" collapsed="false">
      <c r="B177" s="9" t="s">
        <v>96</v>
      </c>
      <c r="D177" s="28" t="n">
        <f aca="false">$C$168*(1-Inputs!$C$42)</f>
        <v>91.1616552</v>
      </c>
      <c r="E177" s="28" t="n">
        <f aca="false">-E174+IF(E$172=Inputs!$C$39,$C$169*(1-Inputs!$C$42)-$C$168,0)</f>
        <v>-5.755155</v>
      </c>
      <c r="F177" s="28" t="n">
        <f aca="false">-F174+IF(F$172=Inputs!$C$39,$C$169*(1-Inputs!$C$42)-$C$168,0)</f>
        <v>-5.755155</v>
      </c>
      <c r="G177" s="28" t="n">
        <f aca="false">-G174+IF(G$172=Inputs!$C$39,$C$169*(1-Inputs!$C$42)-$C$168,0)</f>
        <v>-5.755155</v>
      </c>
      <c r="H177" s="28" t="n">
        <f aca="false">-H174+IF(H$172=Inputs!$C$39,$C$169*(1-Inputs!$C$42)-$C$168,0)</f>
        <v>-5.755155</v>
      </c>
      <c r="I177" s="28" t="n">
        <f aca="false">-I174+IF(I$172=Inputs!$C$39,$C$169*(1-Inputs!$C$42)-$C$168,0)</f>
        <v>-5.755155</v>
      </c>
      <c r="J177" s="28" t="n">
        <f aca="false">-J174+IF(J$172=Inputs!$C$39,$C$169*(1-Inputs!$C$42)-$C$168,0)</f>
        <v>-5.755155</v>
      </c>
      <c r="K177" s="28" t="n">
        <f aca="false">-K174+IF(K$172=Inputs!$C$39,$C$169*(1-Inputs!$C$42)-$C$168,0)</f>
        <v>56.2276546767703</v>
      </c>
      <c r="L177" s="28" t="n">
        <f aca="false">-L174+IF(L$172=Inputs!$C$39,$C$169*(1-Inputs!$C$42)-$C$168,0)</f>
        <v>-10.1153978070607</v>
      </c>
      <c r="M177" s="28" t="n">
        <f aca="false">-M174+IF(M$172=Inputs!$C$39,$C$169*(1-Inputs!$C$42)-$C$168,0)</f>
        <v>-10.1153978070607</v>
      </c>
      <c r="N177" s="28" t="n">
        <f aca="false">-N174+IF(N$172=Inputs!$C$39,$C$169*(1-Inputs!$C$42)-$C$168,0)-$C$169</f>
        <v>-165.736902531071</v>
      </c>
    </row>
    <row r="178" customFormat="false" ht="15" hidden="false" customHeight="false" outlineLevel="0" collapsed="false">
      <c r="B178" s="29" t="s">
        <v>97</v>
      </c>
      <c r="D178" s="30" t="n">
        <f aca="false">D170+D177</f>
        <v>-196.4783448</v>
      </c>
      <c r="E178" s="30" t="n">
        <f aca="false">E170+E177</f>
        <v>-2.835015</v>
      </c>
      <c r="F178" s="30" t="n">
        <f aca="false">F170+F177</f>
        <v>-1.798957092</v>
      </c>
      <c r="G178" s="30" t="n">
        <f aca="false">G170+G177</f>
        <v>-0.707736250712403</v>
      </c>
      <c r="H178" s="30" t="n">
        <f aca="false">H170+H177</f>
        <v>0.440941008713558</v>
      </c>
      <c r="I178" s="30" t="n">
        <f aca="false">I170+I177</f>
        <v>1.64945453938962</v>
      </c>
      <c r="J178" s="30" t="n">
        <f aca="false">J170+J177</f>
        <v>2.92027365067816</v>
      </c>
      <c r="K178" s="30" t="n">
        <f aca="false">K170+K177</f>
        <v>66.2387699799457</v>
      </c>
      <c r="L178" s="30" t="n">
        <f aca="false">L170+L177</f>
        <v>1.29892960725784</v>
      </c>
      <c r="M178" s="30" t="n">
        <f aca="false">M170+M177</f>
        <v>2.77242447130721</v>
      </c>
      <c r="N178" s="30" t="n">
        <f aca="false">N170+N177</f>
        <v>368.752995452347</v>
      </c>
    </row>
    <row r="179" customFormat="false" ht="15" hidden="false" customHeight="false" outlineLevel="0" collapsed="false">
      <c r="B179" s="9" t="s">
        <v>98</v>
      </c>
      <c r="C179" s="28" t="n">
        <f aca="false">-D178</f>
        <v>196.4783448</v>
      </c>
    </row>
    <row r="180" customFormat="false" ht="15" hidden="false" customHeight="false" outlineLevel="0" collapsed="false">
      <c r="B180" s="9" t="s">
        <v>99</v>
      </c>
      <c r="C180" s="31" t="n">
        <f aca="false">IRR(D170:N170,0.08)</f>
        <v>0.0814189049874813</v>
      </c>
    </row>
    <row r="181" customFormat="false" ht="15" hidden="false" customHeight="false" outlineLevel="0" collapsed="false">
      <c r="B181" s="29" t="s">
        <v>100</v>
      </c>
      <c r="C181" s="32" t="n">
        <f aca="false">IRR(D178:N178,0.08)</f>
        <v>0.0876047742759758</v>
      </c>
    </row>
    <row r="182" customFormat="false" ht="15" hidden="false" customHeight="false" outlineLevel="0" collapsed="false">
      <c r="B182" s="9" t="s">
        <v>101</v>
      </c>
      <c r="C182" s="22" t="n">
        <f aca="false">SUMIF(D178:N178,"&gt;0")/-SUMIF(D178:N178,"&lt;0")</f>
        <v>2.20034521740821</v>
      </c>
    </row>
    <row r="183" customFormat="false" ht="15" hidden="false" customHeight="false" outlineLevel="0" collapsed="false">
      <c r="B183" s="9" t="s">
        <v>102</v>
      </c>
      <c r="C183" s="33" t="n">
        <f aca="false">Inputs!$C$33/E161</f>
        <v>21.4373027312036</v>
      </c>
    </row>
    <row r="185" customFormat="false" ht="15" hidden="false" customHeight="false" outlineLevel="0" collapsed="false">
      <c r="B185" s="7" t="s">
        <v>115</v>
      </c>
      <c r="C185" s="8"/>
      <c r="D185" s="8"/>
      <c r="E185" s="8"/>
      <c r="F185" s="8"/>
      <c r="G185" s="8"/>
      <c r="H185" s="8"/>
      <c r="I185" s="8"/>
      <c r="J185" s="8"/>
      <c r="K185" s="8"/>
      <c r="L185" s="8"/>
      <c r="M185" s="8"/>
      <c r="N185" s="8"/>
    </row>
    <row r="186" customFormat="false" ht="15" hidden="false" customHeight="false" outlineLevel="0" collapsed="false">
      <c r="B186" s="9" t="s">
        <v>23</v>
      </c>
      <c r="C186" s="20" t="n">
        <f aca="false">Inputs!$C$12</f>
        <v>0.03</v>
      </c>
    </row>
    <row r="187" customFormat="false" ht="15" hidden="false" customHeight="false" outlineLevel="0" collapsed="false">
      <c r="B187" s="9" t="s">
        <v>34</v>
      </c>
      <c r="C187" s="21" t="n">
        <f aca="false">Inputs!$C$22</f>
        <v>40</v>
      </c>
    </row>
    <row r="188" customFormat="false" ht="15" hidden="false" customHeight="false" outlineLevel="0" collapsed="false">
      <c r="B188" s="9" t="s">
        <v>63</v>
      </c>
      <c r="C188" s="21" t="n">
        <f aca="false">Inputs!$C$15</f>
        <v>0</v>
      </c>
    </row>
    <row r="189" customFormat="false" ht="15" hidden="false" customHeight="false" outlineLevel="0" collapsed="false">
      <c r="B189" s="9" t="s">
        <v>64</v>
      </c>
      <c r="C189" s="35" t="n">
        <v>23</v>
      </c>
    </row>
    <row r="190" customFormat="false" ht="15" hidden="false" customHeight="false" outlineLevel="0" collapsed="false">
      <c r="B190" s="23" t="s">
        <v>65</v>
      </c>
      <c r="C190" s="24"/>
      <c r="D190" s="24" t="n">
        <v>0</v>
      </c>
      <c r="E190" s="24" t="n">
        <v>1</v>
      </c>
      <c r="F190" s="24" t="n">
        <v>2</v>
      </c>
      <c r="G190" s="24" t="n">
        <v>3</v>
      </c>
      <c r="H190" s="24" t="n">
        <v>4</v>
      </c>
      <c r="I190" s="24" t="n">
        <v>5</v>
      </c>
      <c r="J190" s="24" t="n">
        <v>6</v>
      </c>
      <c r="K190" s="24" t="n">
        <v>7</v>
      </c>
      <c r="L190" s="24" t="n">
        <v>8</v>
      </c>
      <c r="M190" s="24" t="n">
        <v>9</v>
      </c>
      <c r="N190" s="24" t="n">
        <v>10</v>
      </c>
    </row>
    <row r="191" customFormat="false" ht="15" hidden="false" customHeight="false" outlineLevel="0" collapsed="false">
      <c r="B191" s="9" t="s">
        <v>66</v>
      </c>
      <c r="E191" s="25" t="n">
        <f aca="false">Inputs!$C$6*$C$186</f>
        <v>25.5</v>
      </c>
      <c r="F191" s="25" t="n">
        <f aca="false">Inputs!$C$6*$C$186</f>
        <v>25.5</v>
      </c>
      <c r="G191" s="25" t="n">
        <f aca="false">Inputs!$C$6*$C$186</f>
        <v>25.5</v>
      </c>
      <c r="H191" s="25" t="n">
        <f aca="false">Inputs!$C$6*$C$186</f>
        <v>25.5</v>
      </c>
      <c r="I191" s="25" t="n">
        <f aca="false">Inputs!$C$6*$C$186</f>
        <v>25.5</v>
      </c>
      <c r="J191" s="25" t="n">
        <f aca="false">Inputs!$C$6*$C$186</f>
        <v>25.5</v>
      </c>
      <c r="K191" s="25" t="n">
        <f aca="false">Inputs!$C$6*$C$186</f>
        <v>25.5</v>
      </c>
      <c r="L191" s="25" t="n">
        <f aca="false">Inputs!$C$6*$C$186</f>
        <v>25.5</v>
      </c>
      <c r="M191" s="25" t="n">
        <f aca="false">Inputs!$C$6*$C$186</f>
        <v>25.5</v>
      </c>
      <c r="N191" s="25" t="n">
        <f aca="false">Inputs!$C$6*$C$186</f>
        <v>25.5</v>
      </c>
    </row>
    <row r="192" customFormat="false" ht="15" hidden="false" customHeight="false" outlineLevel="0" collapsed="false">
      <c r="B192" s="9" t="s">
        <v>67</v>
      </c>
      <c r="E192" s="26" t="n">
        <f aca="false">D194*Inputs!$C$13</f>
        <v>3.82</v>
      </c>
      <c r="F192" s="26" t="n">
        <f aca="false">E194*Inputs!$C$13</f>
        <v>4.0368</v>
      </c>
      <c r="G192" s="26" t="n">
        <f aca="false">F194*Inputs!$C$13</f>
        <v>4.251432</v>
      </c>
      <c r="H192" s="26" t="n">
        <f aca="false">G194*Inputs!$C$13</f>
        <v>4.46391768</v>
      </c>
      <c r="I192" s="26" t="n">
        <f aca="false">H194*Inputs!$C$13</f>
        <v>4.6742785032</v>
      </c>
      <c r="J192" s="26" t="n">
        <f aca="false">I194*Inputs!$C$13</f>
        <v>4.882535718168</v>
      </c>
      <c r="K192" s="26" t="n">
        <f aca="false">J194*Inputs!$C$13</f>
        <v>5.08871036098632</v>
      </c>
      <c r="L192" s="26" t="n">
        <f aca="false">K194*Inputs!$C$13</f>
        <v>5.29282325737646</v>
      </c>
      <c r="M192" s="26" t="n">
        <f aca="false">L194*Inputs!$C$13</f>
        <v>5.49489502480269</v>
      </c>
      <c r="N192" s="26" t="n">
        <f aca="false">M194*Inputs!$C$13</f>
        <v>5.69494607455467</v>
      </c>
    </row>
    <row r="193" customFormat="false" ht="15" hidden="false" customHeight="false" outlineLevel="0" collapsed="false">
      <c r="B193" s="9" t="s">
        <v>68</v>
      </c>
      <c r="E193" s="25" t="n">
        <f aca="false">IF(AND($C$188&gt;0,OR(E$190=Inputs!$C$14,E$190=Inputs!$C$14+1)),$C$188/2,0)</f>
        <v>0</v>
      </c>
      <c r="F193" s="25" t="n">
        <f aca="false">IF(AND($C$188&gt;0,OR(F$190=Inputs!$C$14,F$190=Inputs!$C$14+1)),$C$188/2,0)</f>
        <v>0</v>
      </c>
      <c r="G193" s="25" t="n">
        <f aca="false">IF(AND($C$188&gt;0,OR(G$190=Inputs!$C$14,G$190=Inputs!$C$14+1)),$C$188/2,0)</f>
        <v>0</v>
      </c>
      <c r="H193" s="25" t="n">
        <f aca="false">IF(AND($C$188&gt;0,OR(H$190=Inputs!$C$14,H$190=Inputs!$C$14+1)),$C$188/2,0)</f>
        <v>0</v>
      </c>
      <c r="I193" s="25" t="n">
        <f aca="false">IF(AND($C$188&gt;0,OR(I$190=Inputs!$C$14,I$190=Inputs!$C$14+1)),$C$188/2,0)</f>
        <v>0</v>
      </c>
      <c r="J193" s="25" t="n">
        <f aca="false">IF(AND($C$188&gt;0,OR(J$190=Inputs!$C$14,J$190=Inputs!$C$14+1)),$C$188/2,0)</f>
        <v>0</v>
      </c>
      <c r="K193" s="25" t="n">
        <f aca="false">IF(AND($C$188&gt;0,OR(K$190=Inputs!$C$14,K$190=Inputs!$C$14+1)),$C$188/2,0)</f>
        <v>0</v>
      </c>
      <c r="L193" s="25" t="n">
        <f aca="false">IF(AND($C$188&gt;0,OR(L$190=Inputs!$C$14,L$190=Inputs!$C$14+1)),$C$188/2,0)</f>
        <v>0</v>
      </c>
      <c r="M193" s="25" t="n">
        <f aca="false">IF(AND($C$188&gt;0,OR(M$190=Inputs!$C$14,M$190=Inputs!$C$14+1)),$C$188/2,0)</f>
        <v>0</v>
      </c>
      <c r="N193" s="25" t="n">
        <f aca="false">IF(AND($C$188&gt;0,OR(N$190=Inputs!$C$14,N$190=Inputs!$C$14+1)),$C$188/2,0)</f>
        <v>0</v>
      </c>
    </row>
    <row r="194" customFormat="false" ht="15" hidden="false" customHeight="false" outlineLevel="0" collapsed="false">
      <c r="B194" s="9" t="s">
        <v>69</v>
      </c>
      <c r="D194" s="25" t="n">
        <f aca="false">Inputs!$C$7</f>
        <v>382</v>
      </c>
      <c r="E194" s="25" t="n">
        <f aca="false">D194+E191-E192-E193</f>
        <v>403.68</v>
      </c>
      <c r="F194" s="25" t="n">
        <f aca="false">E194+F191-F192-F193</f>
        <v>425.1432</v>
      </c>
      <c r="G194" s="25" t="n">
        <f aca="false">F194+G191-G192-G193</f>
        <v>446.391768</v>
      </c>
      <c r="H194" s="25" t="n">
        <f aca="false">G194+H191-H192-H193</f>
        <v>467.42785032</v>
      </c>
      <c r="I194" s="25" t="n">
        <f aca="false">H194+I191-I192-I193</f>
        <v>488.2535718168</v>
      </c>
      <c r="J194" s="25" t="n">
        <f aca="false">I194+J191-J192-J193</f>
        <v>508.871036098632</v>
      </c>
      <c r="K194" s="25" t="n">
        <f aca="false">J194+K191-K192-K193</f>
        <v>529.282325737646</v>
      </c>
      <c r="L194" s="25" t="n">
        <f aca="false">K194+L191-L192-L193</f>
        <v>549.489502480269</v>
      </c>
      <c r="M194" s="25" t="n">
        <f aca="false">L194+M191-M192-M193</f>
        <v>569.494607455467</v>
      </c>
      <c r="N194" s="25" t="n">
        <f aca="false">M194+N191-N192-N193</f>
        <v>589.299661380912</v>
      </c>
    </row>
    <row r="195" customFormat="false" ht="15" hidden="false" customHeight="false" outlineLevel="0" collapsed="false">
      <c r="B195" s="9" t="s">
        <v>70</v>
      </c>
      <c r="E195" s="25" t="n">
        <f aca="false">(E194+D194)/2</f>
        <v>392.84</v>
      </c>
      <c r="F195" s="25" t="n">
        <f aca="false">(F194+E194)/2</f>
        <v>414.4116</v>
      </c>
      <c r="G195" s="25" t="n">
        <f aca="false">(G194+F194)/2</f>
        <v>435.767484</v>
      </c>
      <c r="H195" s="25" t="n">
        <f aca="false">(H194+G194)/2</f>
        <v>456.90980916</v>
      </c>
      <c r="I195" s="25" t="n">
        <f aca="false">(I194+H194)/2</f>
        <v>477.8407110684</v>
      </c>
      <c r="J195" s="25" t="n">
        <f aca="false">(J194+I194)/2</f>
        <v>498.562303957716</v>
      </c>
      <c r="K195" s="25" t="n">
        <f aca="false">(K194+J194)/2</f>
        <v>519.076680918139</v>
      </c>
      <c r="L195" s="25" t="n">
        <f aca="false">(L194+K194)/2</f>
        <v>539.385914108957</v>
      </c>
      <c r="M195" s="25" t="n">
        <f aca="false">(M194+L194)/2</f>
        <v>559.492054967868</v>
      </c>
      <c r="N195" s="25" t="n">
        <f aca="false">(N194+M194)/2</f>
        <v>579.397134418189</v>
      </c>
    </row>
    <row r="196" customFormat="false" ht="15" hidden="false" customHeight="false" outlineLevel="0" collapsed="false">
      <c r="B196" s="9" t="s">
        <v>71</v>
      </c>
      <c r="D196" s="26" t="n">
        <f aca="false">(Inputs!$C$6+D194)/Inputs!$C$6</f>
        <v>1.44941176470588</v>
      </c>
      <c r="E196" s="26" t="n">
        <f aca="false">(Inputs!$C$6+E194)/Inputs!$C$6</f>
        <v>1.47491764705882</v>
      </c>
      <c r="F196" s="26" t="n">
        <f aca="false">(Inputs!$C$6+F194)/Inputs!$C$6</f>
        <v>1.50016847058824</v>
      </c>
      <c r="G196" s="26" t="n">
        <f aca="false">(Inputs!$C$6+G194)/Inputs!$C$6</f>
        <v>1.52516678588235</v>
      </c>
      <c r="H196" s="26" t="n">
        <f aca="false">(Inputs!$C$6+H194)/Inputs!$C$6</f>
        <v>1.54991511802353</v>
      </c>
      <c r="I196" s="26" t="n">
        <f aca="false">(Inputs!$C$6+I194)/Inputs!$C$6</f>
        <v>1.57441596684329</v>
      </c>
      <c r="J196" s="26" t="n">
        <f aca="false">(Inputs!$C$6+J194)/Inputs!$C$6</f>
        <v>1.59867180717486</v>
      </c>
      <c r="K196" s="26" t="n">
        <f aca="false">(Inputs!$C$6+K194)/Inputs!$C$6</f>
        <v>1.62268508910311</v>
      </c>
      <c r="L196" s="26" t="n">
        <f aca="false">(Inputs!$C$6+L194)/Inputs!$C$6</f>
        <v>1.64645823821208</v>
      </c>
      <c r="M196" s="26" t="n">
        <f aca="false">(Inputs!$C$6+M194)/Inputs!$C$6</f>
        <v>1.66999365582996</v>
      </c>
      <c r="N196" s="26" t="n">
        <f aca="false">(Inputs!$C$6+N194)/Inputs!$C$6</f>
        <v>1.69329371927166</v>
      </c>
    </row>
    <row r="197" customFormat="false" ht="15" hidden="false" customHeight="false" outlineLevel="0" collapsed="false">
      <c r="B197" s="9" t="s">
        <v>72</v>
      </c>
      <c r="D197" s="27" t="n">
        <f aca="false">ROUND(Inputs!$C$6*Inputs!$C$19,0)</f>
        <v>595</v>
      </c>
      <c r="E197" s="27" t="n">
        <f aca="false">MAX(0,D197-$C$187)</f>
        <v>555</v>
      </c>
      <c r="F197" s="27" t="n">
        <f aca="false">MAX(0,E197-$C$187)</f>
        <v>515</v>
      </c>
      <c r="G197" s="27" t="n">
        <f aca="false">MAX(0,F197-$C$187)</f>
        <v>475</v>
      </c>
      <c r="H197" s="27" t="n">
        <f aca="false">MAX(0,G197-$C$187)</f>
        <v>435</v>
      </c>
      <c r="I197" s="27" t="n">
        <f aca="false">MAX(0,H197-$C$187)</f>
        <v>395</v>
      </c>
      <c r="J197" s="27" t="n">
        <f aca="false">MAX(0,I197-$C$187)</f>
        <v>355</v>
      </c>
      <c r="K197" s="27" t="n">
        <f aca="false">MAX(0,J197-$C$187)</f>
        <v>315</v>
      </c>
      <c r="L197" s="27" t="n">
        <f aca="false">MAX(0,K197-$C$187)</f>
        <v>275</v>
      </c>
      <c r="M197" s="27" t="n">
        <f aca="false">MAX(0,L197-$C$187)</f>
        <v>235</v>
      </c>
      <c r="N197" s="27" t="n">
        <f aca="false">MAX(0,M197-$C$187)</f>
        <v>195</v>
      </c>
    </row>
    <row r="198" customFormat="false" ht="15" hidden="false" customHeight="false" outlineLevel="0" collapsed="false">
      <c r="B198" s="9" t="s">
        <v>73</v>
      </c>
      <c r="E198" s="25" t="n">
        <f aca="false">(E197+D197)/2</f>
        <v>575</v>
      </c>
      <c r="F198" s="25" t="n">
        <f aca="false">(F197+E197)/2</f>
        <v>535</v>
      </c>
      <c r="G198" s="25" t="n">
        <f aca="false">(G197+F197)/2</f>
        <v>495</v>
      </c>
      <c r="H198" s="25" t="n">
        <f aca="false">(H197+G197)/2</f>
        <v>455</v>
      </c>
      <c r="I198" s="25" t="n">
        <f aca="false">(I197+H197)/2</f>
        <v>415</v>
      </c>
      <c r="J198" s="25" t="n">
        <f aca="false">(J197+I197)/2</f>
        <v>375</v>
      </c>
      <c r="K198" s="25" t="n">
        <f aca="false">(K197+J197)/2</f>
        <v>335</v>
      </c>
      <c r="L198" s="25" t="n">
        <f aca="false">(L197+K197)/2</f>
        <v>295</v>
      </c>
      <c r="M198" s="25" t="n">
        <f aca="false">(M197+L197)/2</f>
        <v>255</v>
      </c>
      <c r="N198" s="25" t="n">
        <f aca="false">(N197+M197)/2</f>
        <v>215</v>
      </c>
    </row>
    <row r="199" customFormat="false" ht="15" hidden="false" customHeight="false" outlineLevel="0" collapsed="false">
      <c r="B199" s="9" t="s">
        <v>74</v>
      </c>
      <c r="E199" s="28" t="n">
        <f aca="false">Inputs!$C$6*Inputs!$C$8*12*(1+Inputs!$C$9)^(E$190-1)/1000000</f>
        <v>20.91</v>
      </c>
      <c r="F199" s="28" t="n">
        <f aca="false">Inputs!$C$6*Inputs!$C$8*12*(1+Inputs!$C$9)^(F$190-1)/1000000</f>
        <v>21.43275</v>
      </c>
      <c r="G199" s="28" t="n">
        <f aca="false">Inputs!$C$6*Inputs!$C$8*12*(1+Inputs!$C$9)^(G$190-1)/1000000</f>
        <v>21.96856875</v>
      </c>
      <c r="H199" s="28" t="n">
        <f aca="false">Inputs!$C$6*Inputs!$C$8*12*(1+Inputs!$C$9)^(H$190-1)/1000000</f>
        <v>22.51778296875</v>
      </c>
      <c r="I199" s="28" t="n">
        <f aca="false">Inputs!$C$6*Inputs!$C$8*12*(1+Inputs!$C$9)^(I$190-1)/1000000</f>
        <v>23.0807275429687</v>
      </c>
      <c r="J199" s="28" t="n">
        <f aca="false">Inputs!$C$6*Inputs!$C$8*12*(1+Inputs!$C$9)^(J$190-1)/1000000</f>
        <v>23.657745731543</v>
      </c>
      <c r="K199" s="28" t="n">
        <f aca="false">Inputs!$C$6*Inputs!$C$8*12*(1+Inputs!$C$9)^(K$190-1)/1000000</f>
        <v>24.2491893748315</v>
      </c>
      <c r="L199" s="28" t="n">
        <f aca="false">Inputs!$C$6*Inputs!$C$8*12*(1+Inputs!$C$9)^(L$190-1)/1000000</f>
        <v>24.8554191092023</v>
      </c>
      <c r="M199" s="28" t="n">
        <f aca="false">Inputs!$C$6*Inputs!$C$8*12*(1+Inputs!$C$9)^(M$190-1)/1000000</f>
        <v>25.4768045869324</v>
      </c>
      <c r="N199" s="28" t="n">
        <f aca="false">Inputs!$C$6*Inputs!$C$8*12*(1+Inputs!$C$9)^(N$190-1)/1000000</f>
        <v>26.1137247016057</v>
      </c>
    </row>
    <row r="200" customFormat="false" ht="15" hidden="false" customHeight="false" outlineLevel="0" collapsed="false">
      <c r="B200" s="9" t="s">
        <v>75</v>
      </c>
      <c r="E200" s="28" t="n">
        <f aca="false">E195*Inputs!$C$10*12*(1+Inputs!$C$11)^(E$190-1)/1000000</f>
        <v>8.24964</v>
      </c>
      <c r="F200" s="28" t="n">
        <f aca="false">F195*Inputs!$C$10*12*(1+Inputs!$C$11)^(F$190-1)/1000000</f>
        <v>8.963722908</v>
      </c>
      <c r="G200" s="28" t="n">
        <f aca="false">G195*Inputs!$C$10*12*(1+Inputs!$C$11)^(G$190-1)/1000000</f>
        <v>9.7084201992876</v>
      </c>
      <c r="H200" s="28" t="n">
        <f aca="false">H195*Inputs!$C$10*12*(1+Inputs!$C$11)^(H$190-1)/1000000</f>
        <v>10.4848313857136</v>
      </c>
      <c r="I200" s="28" t="n">
        <f aca="false">I195*Inputs!$C$10*12*(1+Inputs!$C$11)^(I$190-1)/1000000</f>
        <v>11.2940925317671</v>
      </c>
      <c r="J200" s="28" t="n">
        <f aca="false">J195*Inputs!$C$10*12*(1+Inputs!$C$11)^(J$190-1)/1000000</f>
        <v>12.1373774214306</v>
      </c>
      <c r="K200" s="28" t="n">
        <f aca="false">K195*Inputs!$C$10*12*(1+Inputs!$C$11)^(K$190-1)/1000000</f>
        <v>13.015898761424</v>
      </c>
      <c r="L200" s="28" t="n">
        <f aca="false">L195*Inputs!$C$10*12*(1+Inputs!$C$11)^(L$190-1)/1000000</f>
        <v>13.9309094219591</v>
      </c>
      <c r="M200" s="28" t="n">
        <f aca="false">M195*Inputs!$C$10*12*(1+Inputs!$C$11)^(M$190-1)/1000000</f>
        <v>14.8837037161548</v>
      </c>
      <c r="N200" s="28" t="n">
        <f aca="false">N195*Inputs!$C$10*12*(1+Inputs!$C$11)^(N$190-1)/1000000</f>
        <v>15.8756187193036</v>
      </c>
    </row>
    <row r="201" customFormat="false" ht="15" hidden="false" customHeight="false" outlineLevel="0" collapsed="false">
      <c r="B201" s="9" t="s">
        <v>76</v>
      </c>
      <c r="E201" s="28" t="n">
        <f aca="false">E199+E200</f>
        <v>29.15964</v>
      </c>
      <c r="F201" s="28" t="n">
        <f aca="false">F199+F200</f>
        <v>30.396472908</v>
      </c>
      <c r="G201" s="28" t="n">
        <f aca="false">G199+G200</f>
        <v>31.6769889492876</v>
      </c>
      <c r="H201" s="28" t="n">
        <f aca="false">H199+H200</f>
        <v>33.0026143544636</v>
      </c>
      <c r="I201" s="28" t="n">
        <f aca="false">I199+I200</f>
        <v>34.3748200747359</v>
      </c>
      <c r="J201" s="28" t="n">
        <f aca="false">J199+J200</f>
        <v>35.7951231529735</v>
      </c>
      <c r="K201" s="28" t="n">
        <f aca="false">K199+K200</f>
        <v>37.2650881362556</v>
      </c>
      <c r="L201" s="28" t="n">
        <f aca="false">L199+L200</f>
        <v>38.7863285311614</v>
      </c>
      <c r="M201" s="28" t="n">
        <f aca="false">M199+M200</f>
        <v>40.3605083030872</v>
      </c>
      <c r="N201" s="28" t="n">
        <f aca="false">N199+N200</f>
        <v>41.9893434209093</v>
      </c>
    </row>
    <row r="202" customFormat="false" ht="15" hidden="false" customHeight="false" outlineLevel="0" collapsed="false">
      <c r="B202" s="9" t="s">
        <v>77</v>
      </c>
      <c r="E202" s="28" t="n">
        <f aca="false">Inputs!$C$20*12*(1+Inputs!$C$21)^(E$190-1)</f>
        <v>13800</v>
      </c>
      <c r="F202" s="28" t="n">
        <f aca="false">Inputs!$C$20*12*(1+Inputs!$C$21)^(F$190-1)</f>
        <v>14214</v>
      </c>
      <c r="G202" s="28" t="n">
        <f aca="false">Inputs!$C$20*12*(1+Inputs!$C$21)^(G$190-1)</f>
        <v>14640.42</v>
      </c>
      <c r="H202" s="28" t="n">
        <f aca="false">Inputs!$C$20*12*(1+Inputs!$C$21)^(H$190-1)</f>
        <v>15079.6326</v>
      </c>
      <c r="I202" s="28" t="n">
        <f aca="false">Inputs!$C$20*12*(1+Inputs!$C$21)^(I$190-1)</f>
        <v>15532.021578</v>
      </c>
      <c r="J202" s="28" t="n">
        <f aca="false">Inputs!$C$20*12*(1+Inputs!$C$21)^(J$190-1)</f>
        <v>15997.98222534</v>
      </c>
      <c r="K202" s="28" t="n">
        <f aca="false">Inputs!$C$20*12*(1+Inputs!$C$21)^(K$190-1)</f>
        <v>16477.9216921002</v>
      </c>
      <c r="L202" s="28" t="n">
        <f aca="false">Inputs!$C$20*12*(1+Inputs!$C$21)^(L$190-1)</f>
        <v>16972.2593428632</v>
      </c>
      <c r="M202" s="28" t="n">
        <f aca="false">Inputs!$C$20*12*(1+Inputs!$C$21)^(M$190-1)</f>
        <v>17481.4271231491</v>
      </c>
      <c r="N202" s="28" t="n">
        <f aca="false">Inputs!$C$20*12*(1+Inputs!$C$21)^(N$190-1)</f>
        <v>18005.8699368436</v>
      </c>
    </row>
    <row r="203" customFormat="false" ht="15" hidden="false" customHeight="false" outlineLevel="0" collapsed="false">
      <c r="B203" s="9" t="s">
        <v>78</v>
      </c>
      <c r="E203" s="28" t="n">
        <f aca="false">E198*E202/1000000</f>
        <v>7.935</v>
      </c>
      <c r="F203" s="28" t="n">
        <f aca="false">F198*F202/1000000</f>
        <v>7.60449</v>
      </c>
      <c r="G203" s="28" t="n">
        <f aca="false">G198*G202/1000000</f>
        <v>7.2470079</v>
      </c>
      <c r="H203" s="28" t="n">
        <f aca="false">H198*H202/1000000</f>
        <v>6.861232833</v>
      </c>
      <c r="I203" s="28" t="n">
        <f aca="false">I198*I202/1000000</f>
        <v>6.44578895487</v>
      </c>
      <c r="J203" s="28" t="n">
        <f aca="false">J198*J202/1000000</f>
        <v>5.9992433345025</v>
      </c>
      <c r="K203" s="28" t="n">
        <f aca="false">K198*K202/1000000</f>
        <v>5.52010376685357</v>
      </c>
      <c r="L203" s="28" t="n">
        <f aca="false">L198*L202/1000000</f>
        <v>5.00681650614465</v>
      </c>
      <c r="M203" s="28" t="n">
        <f aca="false">M198*M202/1000000</f>
        <v>4.45776391640302</v>
      </c>
      <c r="N203" s="28" t="n">
        <f aca="false">N198*N202/1000000</f>
        <v>3.87126203642137</v>
      </c>
    </row>
    <row r="204" customFormat="false" ht="15" hidden="false" customHeight="false" outlineLevel="0" collapsed="false">
      <c r="B204" s="9" t="s">
        <v>79</v>
      </c>
      <c r="E204" s="28" t="n">
        <f aca="false">Inputs!$C$6*Inputs!$C$24*12*(1+Inputs!$C$25)^(E$190-1)/1000000</f>
        <v>3.57</v>
      </c>
      <c r="F204" s="28" t="n">
        <f aca="false">Inputs!$C$6*Inputs!$C$24*12*(1+Inputs!$C$25)^(F$190-1)/1000000</f>
        <v>3.65925</v>
      </c>
      <c r="G204" s="28" t="n">
        <f aca="false">Inputs!$C$6*Inputs!$C$24*12*(1+Inputs!$C$25)^(G$190-1)/1000000</f>
        <v>3.75073125</v>
      </c>
      <c r="H204" s="28" t="n">
        <f aca="false">Inputs!$C$6*Inputs!$C$24*12*(1+Inputs!$C$25)^(H$190-1)/1000000</f>
        <v>3.84449953125</v>
      </c>
      <c r="I204" s="28" t="n">
        <f aca="false">Inputs!$C$6*Inputs!$C$24*12*(1+Inputs!$C$25)^(I$190-1)/1000000</f>
        <v>3.94061201953125</v>
      </c>
      <c r="J204" s="28" t="n">
        <f aca="false">Inputs!$C$6*Inputs!$C$24*12*(1+Inputs!$C$25)^(J$190-1)/1000000</f>
        <v>4.03912732001953</v>
      </c>
      <c r="K204" s="28" t="n">
        <f aca="false">Inputs!$C$6*Inputs!$C$24*12*(1+Inputs!$C$25)^(K$190-1)/1000000</f>
        <v>4.14010550302002</v>
      </c>
      <c r="L204" s="28" t="n">
        <f aca="false">Inputs!$C$6*Inputs!$C$24*12*(1+Inputs!$C$25)^(L$190-1)/1000000</f>
        <v>4.24360814059552</v>
      </c>
      <c r="M204" s="28" t="n">
        <f aca="false">Inputs!$C$6*Inputs!$C$24*12*(1+Inputs!$C$25)^(M$190-1)/1000000</f>
        <v>4.34969834411041</v>
      </c>
      <c r="N204" s="28" t="n">
        <f aca="false">Inputs!$C$6*Inputs!$C$24*12*(1+Inputs!$C$25)^(N$190-1)/1000000</f>
        <v>4.45844080271317</v>
      </c>
    </row>
    <row r="205" customFormat="false" ht="15" hidden="false" customHeight="false" outlineLevel="0" collapsed="false">
      <c r="B205" s="9" t="s">
        <v>80</v>
      </c>
      <c r="E205" s="28" t="n">
        <f aca="false">Inputs!$C$26*(1+Inputs!$C$27)^(E$190-1)</f>
        <v>4.5</v>
      </c>
      <c r="F205" s="28" t="n">
        <f aca="false">Inputs!$C$26*(1+Inputs!$C$27)^(F$190-1)</f>
        <v>4.635</v>
      </c>
      <c r="G205" s="28" t="n">
        <f aca="false">Inputs!$C$26*(1+Inputs!$C$27)^(G$190-1)</f>
        <v>4.77405</v>
      </c>
      <c r="H205" s="28" t="n">
        <f aca="false">Inputs!$C$26*(1+Inputs!$C$27)^(H$190-1)</f>
        <v>4.9172715</v>
      </c>
      <c r="I205" s="28" t="n">
        <f aca="false">Inputs!$C$26*(1+Inputs!$C$27)^(I$190-1)</f>
        <v>5.064789645</v>
      </c>
      <c r="J205" s="28" t="n">
        <f aca="false">Inputs!$C$26*(1+Inputs!$C$27)^(J$190-1)</f>
        <v>5.21673333435</v>
      </c>
      <c r="K205" s="28" t="n">
        <f aca="false">Inputs!$C$26*(1+Inputs!$C$27)^(K$190-1)</f>
        <v>5.3732353343805</v>
      </c>
      <c r="L205" s="28" t="n">
        <f aca="false">Inputs!$C$26*(1+Inputs!$C$27)^(L$190-1)</f>
        <v>5.53443239441192</v>
      </c>
      <c r="M205" s="28" t="n">
        <f aca="false">Inputs!$C$26*(1+Inputs!$C$27)^(M$190-1)</f>
        <v>5.70046536624427</v>
      </c>
      <c r="N205" s="28" t="n">
        <f aca="false">Inputs!$C$26*(1+Inputs!$C$27)^(N$190-1)</f>
        <v>5.8714793272316</v>
      </c>
    </row>
    <row r="206" customFormat="false" ht="15" hidden="false" customHeight="false" outlineLevel="0" collapsed="false">
      <c r="B206" s="29" t="s">
        <v>81</v>
      </c>
      <c r="E206" s="30" t="n">
        <f aca="false">E201-E203-E204-E205</f>
        <v>13.15464</v>
      </c>
      <c r="F206" s="30" t="n">
        <f aca="false">F201-F203-F204-F205</f>
        <v>14.497732908</v>
      </c>
      <c r="G206" s="30" t="n">
        <f aca="false">G201-G203-G204-G205</f>
        <v>15.9051997992876</v>
      </c>
      <c r="H206" s="30" t="n">
        <f aca="false">H201-H203-H204-H205</f>
        <v>17.3796104902136</v>
      </c>
      <c r="I206" s="30" t="n">
        <f aca="false">I201-I203-I204-I205</f>
        <v>18.9236294553346</v>
      </c>
      <c r="J206" s="30" t="n">
        <f aca="false">J201-J203-J204-J205</f>
        <v>20.5400191641015</v>
      </c>
      <c r="K206" s="30" t="n">
        <f aca="false">K201-K203-K204-K205</f>
        <v>22.2316435320015</v>
      </c>
      <c r="L206" s="30" t="n">
        <f aca="false">L201-L203-L204-L205</f>
        <v>24.0014714900094</v>
      </c>
      <c r="M206" s="30" t="n">
        <f aca="false">M201-M203-M204-M205</f>
        <v>25.8525806763295</v>
      </c>
      <c r="N206" s="30" t="n">
        <f aca="false">N201-N203-N204-N205</f>
        <v>27.7881612545431</v>
      </c>
    </row>
    <row r="207" customFormat="false" ht="15" hidden="false" customHeight="false" outlineLevel="0" collapsed="false">
      <c r="B207" s="9" t="s">
        <v>82</v>
      </c>
      <c r="E207" s="28" t="n">
        <f aca="false">Inputs!$C$6*Inputs!$C$28*(1+Inputs!$C$29)^(E$190-1)/1000000</f>
        <v>1.02</v>
      </c>
      <c r="F207" s="28" t="n">
        <f aca="false">Inputs!$C$6*Inputs!$C$28*(1+Inputs!$C$29)^(F$190-1)/1000000</f>
        <v>1.0506</v>
      </c>
      <c r="G207" s="28" t="n">
        <f aca="false">Inputs!$C$6*Inputs!$C$28*(1+Inputs!$C$29)^(G$190-1)/1000000</f>
        <v>1.082118</v>
      </c>
      <c r="H207" s="28" t="n">
        <f aca="false">Inputs!$C$6*Inputs!$C$28*(1+Inputs!$C$29)^(H$190-1)/1000000</f>
        <v>1.11458154</v>
      </c>
      <c r="I207" s="28" t="n">
        <f aca="false">Inputs!$C$6*Inputs!$C$28*(1+Inputs!$C$29)^(I$190-1)/1000000</f>
        <v>1.1480189862</v>
      </c>
      <c r="J207" s="28" t="n">
        <f aca="false">Inputs!$C$6*Inputs!$C$28*(1+Inputs!$C$29)^(J$190-1)/1000000</f>
        <v>1.182459555786</v>
      </c>
      <c r="K207" s="28" t="n">
        <f aca="false">Inputs!$C$6*Inputs!$C$28*(1+Inputs!$C$29)^(K$190-1)/1000000</f>
        <v>1.21793334245958</v>
      </c>
      <c r="L207" s="28" t="n">
        <f aca="false">Inputs!$C$6*Inputs!$C$28*(1+Inputs!$C$29)^(L$190-1)/1000000</f>
        <v>1.25447134273337</v>
      </c>
      <c r="M207" s="28" t="n">
        <f aca="false">Inputs!$C$6*Inputs!$C$28*(1+Inputs!$C$29)^(M$190-1)/1000000</f>
        <v>1.29210548301537</v>
      </c>
      <c r="N207" s="28" t="n">
        <f aca="false">Inputs!$C$6*Inputs!$C$28*(1+Inputs!$C$29)^(N$190-1)/1000000</f>
        <v>1.33086864750583</v>
      </c>
    </row>
    <row r="208" customFormat="false" ht="15" hidden="false" customHeight="false" outlineLevel="0" collapsed="false">
      <c r="B208" s="9" t="s">
        <v>83</v>
      </c>
      <c r="E208" s="28" t="n">
        <f aca="false">E191*Inputs!$C$30*(1+Inputs!$C$29)^(E$190-1)/1000000</f>
        <v>0.3825</v>
      </c>
      <c r="F208" s="28" t="n">
        <f aca="false">F191*Inputs!$C$30*(1+Inputs!$C$29)^(F$190-1)/1000000</f>
        <v>0.393975</v>
      </c>
      <c r="G208" s="28" t="n">
        <f aca="false">G191*Inputs!$C$30*(1+Inputs!$C$29)^(G$190-1)/1000000</f>
        <v>0.40579425</v>
      </c>
      <c r="H208" s="28" t="n">
        <f aca="false">H191*Inputs!$C$30*(1+Inputs!$C$29)^(H$190-1)/1000000</f>
        <v>0.4179680775</v>
      </c>
      <c r="I208" s="28" t="n">
        <f aca="false">I191*Inputs!$C$30*(1+Inputs!$C$29)^(I$190-1)/1000000</f>
        <v>0.430507119825</v>
      </c>
      <c r="J208" s="28" t="n">
        <f aca="false">J191*Inputs!$C$30*(1+Inputs!$C$29)^(J$190-1)/1000000</f>
        <v>0.44342233341975</v>
      </c>
      <c r="K208" s="28" t="n">
        <f aca="false">K191*Inputs!$C$30*(1+Inputs!$C$29)^(K$190-1)/1000000</f>
        <v>0.456725003422343</v>
      </c>
      <c r="L208" s="28" t="n">
        <f aca="false">L191*Inputs!$C$30*(1+Inputs!$C$29)^(L$190-1)/1000000</f>
        <v>0.470426753525013</v>
      </c>
      <c r="M208" s="28" t="n">
        <f aca="false">M191*Inputs!$C$30*(1+Inputs!$C$29)^(M$190-1)/1000000</f>
        <v>0.484539556130763</v>
      </c>
      <c r="N208" s="28" t="n">
        <f aca="false">N191*Inputs!$C$30*(1+Inputs!$C$29)^(N$190-1)/1000000</f>
        <v>0.499075742814686</v>
      </c>
    </row>
    <row r="209" customFormat="false" ht="15" hidden="false" customHeight="false" outlineLevel="0" collapsed="false">
      <c r="B209" s="9" t="s">
        <v>84</v>
      </c>
      <c r="E209" s="28" t="n">
        <f aca="false">(D197-E197)*E202*Inputs!$C$23/1000000</f>
        <v>8.832</v>
      </c>
      <c r="F209" s="28" t="n">
        <f aca="false">(E197-F197)*F202*Inputs!$C$23/1000000</f>
        <v>9.09696</v>
      </c>
      <c r="G209" s="28" t="n">
        <f aca="false">(F197-G197)*G202*Inputs!$C$23/1000000</f>
        <v>9.3698688</v>
      </c>
      <c r="H209" s="28" t="n">
        <f aca="false">(G197-H197)*H202*Inputs!$C$23/1000000</f>
        <v>9.650964864</v>
      </c>
      <c r="I209" s="28" t="n">
        <f aca="false">(H197-I197)*I202*Inputs!$C$23/1000000</f>
        <v>9.94049380992</v>
      </c>
      <c r="J209" s="28" t="n">
        <f aca="false">(I197-J197)*J202*Inputs!$C$23/1000000</f>
        <v>10.2387086242176</v>
      </c>
      <c r="K209" s="28" t="n">
        <f aca="false">(J197-K197)*K202*Inputs!$C$23/1000000</f>
        <v>10.5458698829441</v>
      </c>
      <c r="L209" s="28" t="n">
        <f aca="false">(K197-L197)*L202*Inputs!$C$23/1000000</f>
        <v>10.8622459794325</v>
      </c>
      <c r="M209" s="28" t="n">
        <f aca="false">(L197-M197)*M202*Inputs!$C$23/1000000</f>
        <v>11.1881133588154</v>
      </c>
      <c r="N209" s="28" t="n">
        <f aca="false">(M197-N197)*N202*Inputs!$C$23/1000000</f>
        <v>11.5237567595799</v>
      </c>
    </row>
    <row r="210" customFormat="false" ht="15" hidden="false" customHeight="false" outlineLevel="0" collapsed="false">
      <c r="B210" s="29" t="s">
        <v>85</v>
      </c>
      <c r="E210" s="30" t="n">
        <f aca="false">E206-E207-E208-E209</f>
        <v>2.92014</v>
      </c>
      <c r="F210" s="30" t="n">
        <f aca="false">F206-F207-F208-F209</f>
        <v>3.956197908</v>
      </c>
      <c r="G210" s="30" t="n">
        <f aca="false">G206-G207-G208-G209</f>
        <v>5.0474187492876</v>
      </c>
      <c r="H210" s="30" t="n">
        <f aca="false">H206-H207-H208-H209</f>
        <v>6.19609600871356</v>
      </c>
      <c r="I210" s="30" t="n">
        <f aca="false">I206-I207-I208-I209</f>
        <v>7.40460953938962</v>
      </c>
      <c r="J210" s="30" t="n">
        <f aca="false">J206-J207-J208-J209</f>
        <v>8.67542865067816</v>
      </c>
      <c r="K210" s="30" t="n">
        <f aca="false">K206-K207-K208-K209</f>
        <v>10.0111153031754</v>
      </c>
      <c r="L210" s="30" t="n">
        <f aca="false">L206-L207-L208-L209</f>
        <v>11.4143274143185</v>
      </c>
      <c r="M210" s="30" t="n">
        <f aca="false">M206-M207-M208-M209</f>
        <v>12.8878222783679</v>
      </c>
      <c r="N210" s="30" t="n">
        <f aca="false">N206-N207-N208-N209</f>
        <v>14.4344601046427</v>
      </c>
    </row>
    <row r="211" customFormat="false" ht="15" hidden="false" customHeight="false" outlineLevel="0" collapsed="false">
      <c r="B211" s="9" t="s">
        <v>86</v>
      </c>
      <c r="C211" s="28" t="n">
        <f aca="false">Inputs!$C$33*(1+Inputs!$C$34)</f>
        <v>287.64</v>
      </c>
    </row>
    <row r="212" customFormat="false" ht="15" hidden="false" customHeight="false" outlineLevel="0" collapsed="false">
      <c r="B212" s="29" t="s">
        <v>87</v>
      </c>
      <c r="C212" s="30" t="n">
        <f aca="false">N206*$C$189*(1-Inputs!$C$36)</f>
        <v>629.540793221675</v>
      </c>
    </row>
    <row r="213" customFormat="false" ht="15" hidden="false" customHeight="false" outlineLevel="0" collapsed="false">
      <c r="B213" s="9" t="s">
        <v>88</v>
      </c>
      <c r="C213" s="28" t="n">
        <f aca="false">Inputs!$C$37*E206</f>
        <v>92.08248</v>
      </c>
    </row>
    <row r="214" customFormat="false" ht="15" hidden="false" customHeight="false" outlineLevel="0" collapsed="false">
      <c r="B214" s="9" t="s">
        <v>89</v>
      </c>
      <c r="C214" s="28" t="n">
        <f aca="false">Inputs!$C$40*INDEX(E206:N206,Inputs!$C$39)</f>
        <v>155.62150472401</v>
      </c>
    </row>
    <row r="215" customFormat="false" ht="15" hidden="false" customHeight="false" outlineLevel="0" collapsed="false">
      <c r="B215" s="29" t="s">
        <v>90</v>
      </c>
      <c r="D215" s="30" t="n">
        <f aca="false">-$C$211</f>
        <v>-287.64</v>
      </c>
      <c r="E215" s="30" t="n">
        <f aca="false">E210</f>
        <v>2.92014</v>
      </c>
      <c r="F215" s="30" t="n">
        <f aca="false">F210</f>
        <v>3.956197908</v>
      </c>
      <c r="G215" s="30" t="n">
        <f aca="false">G210</f>
        <v>5.0474187492876</v>
      </c>
      <c r="H215" s="30" t="n">
        <f aca="false">H210</f>
        <v>6.19609600871356</v>
      </c>
      <c r="I215" s="30" t="n">
        <f aca="false">I210</f>
        <v>7.40460953938962</v>
      </c>
      <c r="J215" s="30" t="n">
        <f aca="false">J210</f>
        <v>8.67542865067816</v>
      </c>
      <c r="K215" s="30" t="n">
        <f aca="false">K210</f>
        <v>10.0111153031754</v>
      </c>
      <c r="L215" s="30" t="n">
        <f aca="false">L210</f>
        <v>11.4143274143185</v>
      </c>
      <c r="M215" s="30" t="n">
        <f aca="false">M210</f>
        <v>12.8878222783679</v>
      </c>
      <c r="N215" s="30" t="n">
        <f aca="false">N210+$C$212</f>
        <v>643.975253326318</v>
      </c>
    </row>
    <row r="217" customFormat="false" ht="15" hidden="false" customHeight="false" outlineLevel="0" collapsed="false">
      <c r="B217" s="23" t="s">
        <v>91</v>
      </c>
      <c r="C217" s="24"/>
      <c r="D217" s="24" t="n">
        <v>0</v>
      </c>
      <c r="E217" s="24" t="n">
        <v>1</v>
      </c>
      <c r="F217" s="24" t="n">
        <v>2</v>
      </c>
      <c r="G217" s="24" t="n">
        <v>3</v>
      </c>
      <c r="H217" s="24" t="n">
        <v>4</v>
      </c>
      <c r="I217" s="24" t="n">
        <v>5</v>
      </c>
      <c r="J217" s="24" t="n">
        <v>6</v>
      </c>
      <c r="K217" s="24" t="n">
        <v>7</v>
      </c>
      <c r="L217" s="24" t="n">
        <v>8</v>
      </c>
      <c r="M217" s="24" t="n">
        <v>9</v>
      </c>
      <c r="N217" s="24" t="n">
        <v>10</v>
      </c>
    </row>
    <row r="218" customFormat="false" ht="15" hidden="false" customHeight="false" outlineLevel="0" collapsed="false">
      <c r="B218" s="9" t="s">
        <v>92</v>
      </c>
      <c r="E218" s="28" t="n">
        <f aca="false">IF(E$217&lt;Inputs!$C$39,$C$213,$C$214)</f>
        <v>92.08248</v>
      </c>
      <c r="F218" s="28" t="n">
        <f aca="false">IF(F$217&lt;Inputs!$C$39,$C$213,$C$214)</f>
        <v>92.08248</v>
      </c>
      <c r="G218" s="28" t="n">
        <f aca="false">IF(G$217&lt;Inputs!$C$39,$C$213,$C$214)</f>
        <v>92.08248</v>
      </c>
      <c r="H218" s="28" t="n">
        <f aca="false">IF(H$217&lt;Inputs!$C$39,$C$213,$C$214)</f>
        <v>92.08248</v>
      </c>
      <c r="I218" s="28" t="n">
        <f aca="false">IF(I$217&lt;Inputs!$C$39,$C$213,$C$214)</f>
        <v>92.08248</v>
      </c>
      <c r="J218" s="28" t="n">
        <f aca="false">IF(J$217&lt;Inputs!$C$39,$C$213,$C$214)</f>
        <v>92.08248</v>
      </c>
      <c r="K218" s="28" t="n">
        <f aca="false">IF(K$217&lt;Inputs!$C$39,$C$213,$C$214)</f>
        <v>155.62150472401</v>
      </c>
      <c r="L218" s="28" t="n">
        <f aca="false">IF(L$217&lt;Inputs!$C$39,$C$213,$C$214)</f>
        <v>155.62150472401</v>
      </c>
      <c r="M218" s="28" t="n">
        <f aca="false">IF(M$217&lt;Inputs!$C$39,$C$213,$C$214)</f>
        <v>155.62150472401</v>
      </c>
      <c r="N218" s="28" t="n">
        <f aca="false">IF(N$217&lt;Inputs!$C$39,$C$213,$C$214)</f>
        <v>155.62150472401</v>
      </c>
    </row>
    <row r="219" customFormat="false" ht="15" hidden="false" customHeight="false" outlineLevel="0" collapsed="false">
      <c r="B219" s="9" t="s">
        <v>93</v>
      </c>
      <c r="E219" s="28" t="n">
        <f aca="false">IF(E$217&lt;=Inputs!$C$39,$C$213*Inputs!$C$38,$C$214*Inputs!$C$41)</f>
        <v>5.755155</v>
      </c>
      <c r="F219" s="28" t="n">
        <f aca="false">IF(F$217&lt;=Inputs!$C$39,$C$213*Inputs!$C$38,$C$214*Inputs!$C$41)</f>
        <v>5.755155</v>
      </c>
      <c r="G219" s="28" t="n">
        <f aca="false">IF(G$217&lt;=Inputs!$C$39,$C$213*Inputs!$C$38,$C$214*Inputs!$C$41)</f>
        <v>5.755155</v>
      </c>
      <c r="H219" s="28" t="n">
        <f aca="false">IF(H$217&lt;=Inputs!$C$39,$C$213*Inputs!$C$38,$C$214*Inputs!$C$41)</f>
        <v>5.755155</v>
      </c>
      <c r="I219" s="28" t="n">
        <f aca="false">IF(I$217&lt;=Inputs!$C$39,$C$213*Inputs!$C$38,$C$214*Inputs!$C$41)</f>
        <v>5.755155</v>
      </c>
      <c r="J219" s="28" t="n">
        <f aca="false">IF(J$217&lt;=Inputs!$C$39,$C$213*Inputs!$C$38,$C$214*Inputs!$C$41)</f>
        <v>5.755155</v>
      </c>
      <c r="K219" s="28" t="n">
        <f aca="false">IF(K$217&lt;=Inputs!$C$39,$C$213*Inputs!$C$38,$C$214*Inputs!$C$41)</f>
        <v>5.755155</v>
      </c>
      <c r="L219" s="28" t="n">
        <f aca="false">IF(L$217&lt;=Inputs!$C$39,$C$213*Inputs!$C$38,$C$214*Inputs!$C$41)</f>
        <v>10.1153978070607</v>
      </c>
      <c r="M219" s="28" t="n">
        <f aca="false">IF(M$217&lt;=Inputs!$C$39,$C$213*Inputs!$C$38,$C$214*Inputs!$C$41)</f>
        <v>10.1153978070607</v>
      </c>
      <c r="N219" s="28" t="n">
        <f aca="false">IF(N$217&lt;=Inputs!$C$39,$C$213*Inputs!$C$38,$C$214*Inputs!$C$41)</f>
        <v>10.1153978070607</v>
      </c>
    </row>
    <row r="220" customFormat="false" ht="15" hidden="false" customHeight="false" outlineLevel="0" collapsed="false">
      <c r="B220" s="9" t="s">
        <v>94</v>
      </c>
      <c r="E220" s="26" t="n">
        <f aca="false">E218/E206</f>
        <v>7</v>
      </c>
      <c r="F220" s="26" t="n">
        <f aca="false">F218/F206</f>
        <v>6.35150892793645</v>
      </c>
      <c r="G220" s="26" t="n">
        <f aca="false">G218/G206</f>
        <v>5.78945760895908</v>
      </c>
      <c r="H220" s="26" t="n">
        <f aca="false">H218/H206</f>
        <v>5.29830516350476</v>
      </c>
      <c r="I220" s="26" t="n">
        <f aca="false">I218/I206</f>
        <v>4.8660052352717</v>
      </c>
      <c r="J220" s="26" t="n">
        <f aca="false">J218/J206</f>
        <v>4.48307663514432</v>
      </c>
      <c r="K220" s="26" t="n">
        <f aca="false">K218/K206</f>
        <v>7</v>
      </c>
      <c r="L220" s="26" t="n">
        <f aca="false">L218/L206</f>
        <v>6.48383182626066</v>
      </c>
      <c r="M220" s="26" t="n">
        <f aca="false">M218/M206</f>
        <v>6.01957331348731</v>
      </c>
      <c r="N220" s="26" t="n">
        <f aca="false">N218/N206</f>
        <v>5.60028075620036</v>
      </c>
    </row>
    <row r="221" customFormat="false" ht="15" hidden="false" customHeight="false" outlineLevel="0" collapsed="false">
      <c r="B221" s="9" t="s">
        <v>95</v>
      </c>
      <c r="E221" s="26" t="n">
        <f aca="false">E206/E219</f>
        <v>2.28571428571429</v>
      </c>
      <c r="F221" s="26" t="n">
        <f aca="false">F206/F219</f>
        <v>2.51908643781097</v>
      </c>
      <c r="G221" s="26" t="n">
        <f aca="false">G206/G219</f>
        <v>2.7636440372653</v>
      </c>
      <c r="H221" s="26" t="n">
        <f aca="false">H206/H219</f>
        <v>3.01983360834131</v>
      </c>
      <c r="I221" s="26" t="n">
        <f aca="false">I206/I219</f>
        <v>3.28811812285414</v>
      </c>
      <c r="J221" s="26" t="n">
        <f aca="false">J206/J219</f>
        <v>3.56897757994381</v>
      </c>
      <c r="K221" s="26" t="n">
        <f aca="false">K206/K219</f>
        <v>3.86290960573633</v>
      </c>
      <c r="L221" s="26" t="n">
        <f aca="false">L206/L219</f>
        <v>2.37276595026802</v>
      </c>
      <c r="M221" s="26" t="n">
        <f aca="false">M206/M219</f>
        <v>2.55576509885593</v>
      </c>
      <c r="N221" s="26" t="n">
        <f aca="false">N206/N219</f>
        <v>2.7471150205429</v>
      </c>
    </row>
    <row r="222" customFormat="false" ht="15" hidden="false" customHeight="false" outlineLevel="0" collapsed="false">
      <c r="B222" s="9" t="s">
        <v>96</v>
      </c>
      <c r="D222" s="28" t="n">
        <f aca="false">$C$213*(1-Inputs!$C$42)</f>
        <v>91.1616552</v>
      </c>
      <c r="E222" s="28" t="n">
        <f aca="false">-E219+IF(E$217=Inputs!$C$39,$C$214*(1-Inputs!$C$42)-$C$213,0)</f>
        <v>-5.755155</v>
      </c>
      <c r="F222" s="28" t="n">
        <f aca="false">-F219+IF(F$217=Inputs!$C$39,$C$214*(1-Inputs!$C$42)-$C$213,0)</f>
        <v>-5.755155</v>
      </c>
      <c r="G222" s="28" t="n">
        <f aca="false">-G219+IF(G$217=Inputs!$C$39,$C$214*(1-Inputs!$C$42)-$C$213,0)</f>
        <v>-5.755155</v>
      </c>
      <c r="H222" s="28" t="n">
        <f aca="false">-H219+IF(H$217=Inputs!$C$39,$C$214*(1-Inputs!$C$42)-$C$213,0)</f>
        <v>-5.755155</v>
      </c>
      <c r="I222" s="28" t="n">
        <f aca="false">-I219+IF(I$217=Inputs!$C$39,$C$214*(1-Inputs!$C$42)-$C$213,0)</f>
        <v>-5.755155</v>
      </c>
      <c r="J222" s="28" t="n">
        <f aca="false">-J219+IF(J$217=Inputs!$C$39,$C$214*(1-Inputs!$C$42)-$C$213,0)</f>
        <v>-5.755155</v>
      </c>
      <c r="K222" s="28" t="n">
        <f aca="false">-K219+IF(K$217=Inputs!$C$39,$C$214*(1-Inputs!$C$42)-$C$213,0)</f>
        <v>56.2276546767703</v>
      </c>
      <c r="L222" s="28" t="n">
        <f aca="false">-L219+IF(L$217=Inputs!$C$39,$C$214*(1-Inputs!$C$42)-$C$213,0)</f>
        <v>-10.1153978070607</v>
      </c>
      <c r="M222" s="28" t="n">
        <f aca="false">-M219+IF(M$217=Inputs!$C$39,$C$214*(1-Inputs!$C$42)-$C$213,0)</f>
        <v>-10.1153978070607</v>
      </c>
      <c r="N222" s="28" t="n">
        <f aca="false">-N219+IF(N$217=Inputs!$C$39,$C$214*(1-Inputs!$C$42)-$C$213,0)-$C$214</f>
        <v>-165.736902531071</v>
      </c>
    </row>
    <row r="223" customFormat="false" ht="15" hidden="false" customHeight="false" outlineLevel="0" collapsed="false">
      <c r="B223" s="29" t="s">
        <v>97</v>
      </c>
      <c r="D223" s="30" t="n">
        <f aca="false">D215+D222</f>
        <v>-196.4783448</v>
      </c>
      <c r="E223" s="30" t="n">
        <f aca="false">E215+E222</f>
        <v>-2.835015</v>
      </c>
      <c r="F223" s="30" t="n">
        <f aca="false">F215+F222</f>
        <v>-1.798957092</v>
      </c>
      <c r="G223" s="30" t="n">
        <f aca="false">G215+G222</f>
        <v>-0.707736250712403</v>
      </c>
      <c r="H223" s="30" t="n">
        <f aca="false">H215+H222</f>
        <v>0.440941008713558</v>
      </c>
      <c r="I223" s="30" t="n">
        <f aca="false">I215+I222</f>
        <v>1.64945453938962</v>
      </c>
      <c r="J223" s="30" t="n">
        <f aca="false">J215+J222</f>
        <v>2.92027365067816</v>
      </c>
      <c r="K223" s="30" t="n">
        <f aca="false">K215+K222</f>
        <v>66.2387699799457</v>
      </c>
      <c r="L223" s="30" t="n">
        <f aca="false">L215+L222</f>
        <v>1.29892960725784</v>
      </c>
      <c r="M223" s="30" t="n">
        <f aca="false">M215+M222</f>
        <v>2.77242447130721</v>
      </c>
      <c r="N223" s="30" t="n">
        <f aca="false">N215+N222</f>
        <v>478.238350795247</v>
      </c>
    </row>
    <row r="224" customFormat="false" ht="15" hidden="false" customHeight="false" outlineLevel="0" collapsed="false">
      <c r="B224" s="9" t="s">
        <v>98</v>
      </c>
      <c r="C224" s="28" t="n">
        <f aca="false">-D223</f>
        <v>196.4783448</v>
      </c>
    </row>
    <row r="225" customFormat="false" ht="15" hidden="false" customHeight="false" outlineLevel="0" collapsed="false">
      <c r="B225" s="9" t="s">
        <v>99</v>
      </c>
      <c r="C225" s="31" t="n">
        <f aca="false">IRR(D215:N215,0.08)</f>
        <v>0.100004641242956</v>
      </c>
    </row>
    <row r="226" customFormat="false" ht="15" hidden="false" customHeight="false" outlineLevel="0" collapsed="false">
      <c r="B226" s="29" t="s">
        <v>100</v>
      </c>
      <c r="C226" s="32" t="n">
        <f aca="false">IRR(D223:N223,0.08)</f>
        <v>0.112208773916047</v>
      </c>
    </row>
    <row r="227" customFormat="false" ht="15" hidden="false" customHeight="false" outlineLevel="0" collapsed="false">
      <c r="B227" s="9" t="s">
        <v>101</v>
      </c>
      <c r="C227" s="22" t="n">
        <f aca="false">SUMIF(D223:N223,"&gt;0")/-SUMIF(D223:N223,"&lt;0")</f>
        <v>2.74283519121414</v>
      </c>
    </row>
    <row r="228" customFormat="false" ht="15" hidden="false" customHeight="false" outlineLevel="0" collapsed="false">
      <c r="B228" s="9" t="s">
        <v>102</v>
      </c>
      <c r="C228" s="33" t="n">
        <f aca="false">Inputs!$C$33/E206</f>
        <v>21.4373027312036</v>
      </c>
    </row>
    <row r="230" customFormat="false" ht="15" hidden="false" customHeight="false" outlineLevel="0" collapsed="false">
      <c r="B230" s="7" t="s">
        <v>116</v>
      </c>
      <c r="C230" s="8"/>
      <c r="D230" s="8"/>
      <c r="E230" s="8"/>
      <c r="F230" s="8"/>
      <c r="G230" s="8"/>
      <c r="H230" s="8"/>
      <c r="I230" s="8"/>
      <c r="J230" s="8"/>
      <c r="K230" s="8"/>
      <c r="L230" s="8"/>
      <c r="M230" s="8"/>
      <c r="N230" s="8"/>
    </row>
    <row r="231" customFormat="false" ht="15" hidden="false" customHeight="false" outlineLevel="0" collapsed="false">
      <c r="B231" s="9" t="s">
        <v>23</v>
      </c>
      <c r="C231" s="20" t="n">
        <f aca="false">Inputs!$C$12</f>
        <v>0.03</v>
      </c>
    </row>
    <row r="232" customFormat="false" ht="15" hidden="false" customHeight="false" outlineLevel="0" collapsed="false">
      <c r="B232" s="9" t="s">
        <v>34</v>
      </c>
      <c r="C232" s="21" t="n">
        <f aca="false">Inputs!$C$22</f>
        <v>40</v>
      </c>
    </row>
    <row r="233" customFormat="false" ht="15" hidden="false" customHeight="false" outlineLevel="0" collapsed="false">
      <c r="B233" s="9" t="s">
        <v>63</v>
      </c>
      <c r="C233" s="21" t="n">
        <f aca="false">Inputs!$C$15</f>
        <v>0</v>
      </c>
    </row>
    <row r="234" customFormat="false" ht="15" hidden="false" customHeight="false" outlineLevel="0" collapsed="false">
      <c r="B234" s="9" t="s">
        <v>64</v>
      </c>
      <c r="C234" s="22" t="n">
        <f aca="false">Inputs!$C$35-2</f>
        <v>19</v>
      </c>
    </row>
    <row r="235" customFormat="false" ht="15" hidden="false" customHeight="false" outlineLevel="0" collapsed="false">
      <c r="B235" s="23" t="s">
        <v>65</v>
      </c>
      <c r="C235" s="24"/>
      <c r="D235" s="24" t="n">
        <v>0</v>
      </c>
      <c r="E235" s="24" t="n">
        <v>1</v>
      </c>
      <c r="F235" s="24" t="n">
        <v>2</v>
      </c>
      <c r="G235" s="24" t="n">
        <v>3</v>
      </c>
      <c r="H235" s="24" t="n">
        <v>4</v>
      </c>
      <c r="I235" s="24" t="n">
        <v>5</v>
      </c>
      <c r="J235" s="24" t="n">
        <v>6</v>
      </c>
      <c r="K235" s="24" t="n">
        <v>7</v>
      </c>
      <c r="L235" s="24" t="n">
        <v>8</v>
      </c>
      <c r="M235" s="24" t="n">
        <v>9</v>
      </c>
      <c r="N235" s="24" t="n">
        <v>10</v>
      </c>
    </row>
    <row r="236" customFormat="false" ht="15" hidden="false" customHeight="false" outlineLevel="0" collapsed="false">
      <c r="B236" s="9" t="s">
        <v>66</v>
      </c>
      <c r="E236" s="25" t="n">
        <f aca="false">Inputs!$C$6*$C$231</f>
        <v>25.5</v>
      </c>
      <c r="F236" s="25" t="n">
        <f aca="false">Inputs!$C$6*$C$231</f>
        <v>25.5</v>
      </c>
      <c r="G236" s="25" t="n">
        <f aca="false">Inputs!$C$6*$C$231</f>
        <v>25.5</v>
      </c>
      <c r="H236" s="25" t="n">
        <f aca="false">Inputs!$C$6*$C$231</f>
        <v>25.5</v>
      </c>
      <c r="I236" s="25" t="n">
        <f aca="false">Inputs!$C$6*$C$231</f>
        <v>25.5</v>
      </c>
      <c r="J236" s="25" t="n">
        <f aca="false">Inputs!$C$6*$C$231</f>
        <v>25.5</v>
      </c>
      <c r="K236" s="25" t="n">
        <f aca="false">Inputs!$C$6*$C$231</f>
        <v>25.5</v>
      </c>
      <c r="L236" s="25" t="n">
        <f aca="false">Inputs!$C$6*$C$231</f>
        <v>25.5</v>
      </c>
      <c r="M236" s="25" t="n">
        <f aca="false">Inputs!$C$6*$C$231</f>
        <v>25.5</v>
      </c>
      <c r="N236" s="25" t="n">
        <f aca="false">Inputs!$C$6*$C$231</f>
        <v>25.5</v>
      </c>
    </row>
    <row r="237" customFormat="false" ht="15" hidden="false" customHeight="false" outlineLevel="0" collapsed="false">
      <c r="B237" s="9" t="s">
        <v>67</v>
      </c>
      <c r="E237" s="26" t="n">
        <f aca="false">D239*Inputs!$C$13</f>
        <v>3.82</v>
      </c>
      <c r="F237" s="26" t="n">
        <f aca="false">E239*Inputs!$C$13</f>
        <v>4.0368</v>
      </c>
      <c r="G237" s="26" t="n">
        <f aca="false">F239*Inputs!$C$13</f>
        <v>4.251432</v>
      </c>
      <c r="H237" s="26" t="n">
        <f aca="false">G239*Inputs!$C$13</f>
        <v>4.46391768</v>
      </c>
      <c r="I237" s="26" t="n">
        <f aca="false">H239*Inputs!$C$13</f>
        <v>4.6742785032</v>
      </c>
      <c r="J237" s="26" t="n">
        <f aca="false">I239*Inputs!$C$13</f>
        <v>4.882535718168</v>
      </c>
      <c r="K237" s="26" t="n">
        <f aca="false">J239*Inputs!$C$13</f>
        <v>5.08871036098632</v>
      </c>
      <c r="L237" s="26" t="n">
        <f aca="false">K239*Inputs!$C$13</f>
        <v>5.29282325737646</v>
      </c>
      <c r="M237" s="26" t="n">
        <f aca="false">L239*Inputs!$C$13</f>
        <v>5.49489502480269</v>
      </c>
      <c r="N237" s="26" t="n">
        <f aca="false">M239*Inputs!$C$13</f>
        <v>5.69494607455467</v>
      </c>
    </row>
    <row r="238" customFormat="false" ht="15" hidden="false" customHeight="false" outlineLevel="0" collapsed="false">
      <c r="B238" s="9" t="s">
        <v>68</v>
      </c>
      <c r="E238" s="25" t="n">
        <f aca="false">IF(AND($C$233&gt;0,OR(E$235=Inputs!$C$14,E$235=Inputs!$C$14+1)),$C$233/2,0)</f>
        <v>0</v>
      </c>
      <c r="F238" s="25" t="n">
        <f aca="false">IF(AND($C$233&gt;0,OR(F$235=Inputs!$C$14,F$235=Inputs!$C$14+1)),$C$233/2,0)</f>
        <v>0</v>
      </c>
      <c r="G238" s="25" t="n">
        <f aca="false">IF(AND($C$233&gt;0,OR(G$235=Inputs!$C$14,G$235=Inputs!$C$14+1)),$C$233/2,0)</f>
        <v>0</v>
      </c>
      <c r="H238" s="25" t="n">
        <f aca="false">IF(AND($C$233&gt;0,OR(H$235=Inputs!$C$14,H$235=Inputs!$C$14+1)),$C$233/2,0)</f>
        <v>0</v>
      </c>
      <c r="I238" s="25" t="n">
        <f aca="false">IF(AND($C$233&gt;0,OR(I$235=Inputs!$C$14,I$235=Inputs!$C$14+1)),$C$233/2,0)</f>
        <v>0</v>
      </c>
      <c r="J238" s="25" t="n">
        <f aca="false">IF(AND($C$233&gt;0,OR(J$235=Inputs!$C$14,J$235=Inputs!$C$14+1)),$C$233/2,0)</f>
        <v>0</v>
      </c>
      <c r="K238" s="25" t="n">
        <f aca="false">IF(AND($C$233&gt;0,OR(K$235=Inputs!$C$14,K$235=Inputs!$C$14+1)),$C$233/2,0)</f>
        <v>0</v>
      </c>
      <c r="L238" s="25" t="n">
        <f aca="false">IF(AND($C$233&gt;0,OR(L$235=Inputs!$C$14,L$235=Inputs!$C$14+1)),$C$233/2,0)</f>
        <v>0</v>
      </c>
      <c r="M238" s="25" t="n">
        <f aca="false">IF(AND($C$233&gt;0,OR(M$235=Inputs!$C$14,M$235=Inputs!$C$14+1)),$C$233/2,0)</f>
        <v>0</v>
      </c>
      <c r="N238" s="25" t="n">
        <f aca="false">IF(AND($C$233&gt;0,OR(N$235=Inputs!$C$14,N$235=Inputs!$C$14+1)),$C$233/2,0)</f>
        <v>0</v>
      </c>
    </row>
    <row r="239" customFormat="false" ht="15" hidden="false" customHeight="false" outlineLevel="0" collapsed="false">
      <c r="B239" s="9" t="s">
        <v>69</v>
      </c>
      <c r="D239" s="25" t="n">
        <f aca="false">Inputs!$C$7</f>
        <v>382</v>
      </c>
      <c r="E239" s="25" t="n">
        <f aca="false">D239+E236-E237-E238</f>
        <v>403.68</v>
      </c>
      <c r="F239" s="25" t="n">
        <f aca="false">E239+F236-F237-F238</f>
        <v>425.1432</v>
      </c>
      <c r="G239" s="25" t="n">
        <f aca="false">F239+G236-G237-G238</f>
        <v>446.391768</v>
      </c>
      <c r="H239" s="25" t="n">
        <f aca="false">G239+H236-H237-H238</f>
        <v>467.42785032</v>
      </c>
      <c r="I239" s="25" t="n">
        <f aca="false">H239+I236-I237-I238</f>
        <v>488.2535718168</v>
      </c>
      <c r="J239" s="25" t="n">
        <f aca="false">I239+J236-J237-J238</f>
        <v>508.871036098632</v>
      </c>
      <c r="K239" s="25" t="n">
        <f aca="false">J239+K236-K237-K238</f>
        <v>529.282325737646</v>
      </c>
      <c r="L239" s="25" t="n">
        <f aca="false">K239+L236-L237-L238</f>
        <v>549.489502480269</v>
      </c>
      <c r="M239" s="25" t="n">
        <f aca="false">L239+M236-M237-M238</f>
        <v>569.494607455467</v>
      </c>
      <c r="N239" s="25" t="n">
        <f aca="false">M239+N236-N237-N238</f>
        <v>589.299661380912</v>
      </c>
    </row>
    <row r="240" customFormat="false" ht="15" hidden="false" customHeight="false" outlineLevel="0" collapsed="false">
      <c r="B240" s="9" t="s">
        <v>70</v>
      </c>
      <c r="E240" s="25" t="n">
        <f aca="false">(E239+D239)/2</f>
        <v>392.84</v>
      </c>
      <c r="F240" s="25" t="n">
        <f aca="false">(F239+E239)/2</f>
        <v>414.4116</v>
      </c>
      <c r="G240" s="25" t="n">
        <f aca="false">(G239+F239)/2</f>
        <v>435.767484</v>
      </c>
      <c r="H240" s="25" t="n">
        <f aca="false">(H239+G239)/2</f>
        <v>456.90980916</v>
      </c>
      <c r="I240" s="25" t="n">
        <f aca="false">(I239+H239)/2</f>
        <v>477.8407110684</v>
      </c>
      <c r="J240" s="25" t="n">
        <f aca="false">(J239+I239)/2</f>
        <v>498.562303957716</v>
      </c>
      <c r="K240" s="25" t="n">
        <f aca="false">(K239+J239)/2</f>
        <v>519.076680918139</v>
      </c>
      <c r="L240" s="25" t="n">
        <f aca="false">(L239+K239)/2</f>
        <v>539.385914108957</v>
      </c>
      <c r="M240" s="25" t="n">
        <f aca="false">(M239+L239)/2</f>
        <v>559.492054967868</v>
      </c>
      <c r="N240" s="25" t="n">
        <f aca="false">(N239+M239)/2</f>
        <v>579.397134418189</v>
      </c>
    </row>
    <row r="241" customFormat="false" ht="15" hidden="false" customHeight="false" outlineLevel="0" collapsed="false">
      <c r="B241" s="9" t="s">
        <v>71</v>
      </c>
      <c r="D241" s="26" t="n">
        <f aca="false">(Inputs!$C$6+D239)/Inputs!$C$6</f>
        <v>1.44941176470588</v>
      </c>
      <c r="E241" s="26" t="n">
        <f aca="false">(Inputs!$C$6+E239)/Inputs!$C$6</f>
        <v>1.47491764705882</v>
      </c>
      <c r="F241" s="26" t="n">
        <f aca="false">(Inputs!$C$6+F239)/Inputs!$C$6</f>
        <v>1.50016847058824</v>
      </c>
      <c r="G241" s="26" t="n">
        <f aca="false">(Inputs!$C$6+G239)/Inputs!$C$6</f>
        <v>1.52516678588235</v>
      </c>
      <c r="H241" s="26" t="n">
        <f aca="false">(Inputs!$C$6+H239)/Inputs!$C$6</f>
        <v>1.54991511802353</v>
      </c>
      <c r="I241" s="26" t="n">
        <f aca="false">(Inputs!$C$6+I239)/Inputs!$C$6</f>
        <v>1.57441596684329</v>
      </c>
      <c r="J241" s="26" t="n">
        <f aca="false">(Inputs!$C$6+J239)/Inputs!$C$6</f>
        <v>1.59867180717486</v>
      </c>
      <c r="K241" s="26" t="n">
        <f aca="false">(Inputs!$C$6+K239)/Inputs!$C$6</f>
        <v>1.62268508910311</v>
      </c>
      <c r="L241" s="26" t="n">
        <f aca="false">(Inputs!$C$6+L239)/Inputs!$C$6</f>
        <v>1.64645823821208</v>
      </c>
      <c r="M241" s="26" t="n">
        <f aca="false">(Inputs!$C$6+M239)/Inputs!$C$6</f>
        <v>1.66999365582996</v>
      </c>
      <c r="N241" s="26" t="n">
        <f aca="false">(Inputs!$C$6+N239)/Inputs!$C$6</f>
        <v>1.69329371927166</v>
      </c>
    </row>
    <row r="242" customFormat="false" ht="15" hidden="false" customHeight="false" outlineLevel="0" collapsed="false">
      <c r="B242" s="9" t="s">
        <v>72</v>
      </c>
      <c r="D242" s="27" t="n">
        <f aca="false">ROUND(Inputs!$C$6*Inputs!$C$19,0)</f>
        <v>595</v>
      </c>
      <c r="E242" s="27" t="n">
        <f aca="false">MAX(0,D242-$C$232)</f>
        <v>555</v>
      </c>
      <c r="F242" s="27" t="n">
        <f aca="false">MAX(0,E242-$C$232)</f>
        <v>515</v>
      </c>
      <c r="G242" s="27" t="n">
        <f aca="false">MAX(0,F242-$C$232)</f>
        <v>475</v>
      </c>
      <c r="H242" s="27" t="n">
        <f aca="false">MAX(0,G242-$C$232)</f>
        <v>435</v>
      </c>
      <c r="I242" s="27" t="n">
        <f aca="false">MAX(0,H242-$C$232)</f>
        <v>395</v>
      </c>
      <c r="J242" s="27" t="n">
        <f aca="false">MAX(0,I242-$C$232)</f>
        <v>355</v>
      </c>
      <c r="K242" s="27" t="n">
        <f aca="false">MAX(0,J242-$C$232)</f>
        <v>315</v>
      </c>
      <c r="L242" s="27" t="n">
        <f aca="false">MAX(0,K242-$C$232)</f>
        <v>275</v>
      </c>
      <c r="M242" s="27" t="n">
        <f aca="false">MAX(0,L242-$C$232)</f>
        <v>235</v>
      </c>
      <c r="N242" s="27" t="n">
        <f aca="false">MAX(0,M242-$C$232)</f>
        <v>195</v>
      </c>
    </row>
    <row r="243" customFormat="false" ht="15" hidden="false" customHeight="false" outlineLevel="0" collapsed="false">
      <c r="B243" s="9" t="s">
        <v>73</v>
      </c>
      <c r="E243" s="25" t="n">
        <f aca="false">(E242+D242)/2</f>
        <v>575</v>
      </c>
      <c r="F243" s="25" t="n">
        <f aca="false">(F242+E242)/2</f>
        <v>535</v>
      </c>
      <c r="G243" s="25" t="n">
        <f aca="false">(G242+F242)/2</f>
        <v>495</v>
      </c>
      <c r="H243" s="25" t="n">
        <f aca="false">(H242+G242)/2</f>
        <v>455</v>
      </c>
      <c r="I243" s="25" t="n">
        <f aca="false">(I242+H242)/2</f>
        <v>415</v>
      </c>
      <c r="J243" s="25" t="n">
        <f aca="false">(J242+I242)/2</f>
        <v>375</v>
      </c>
      <c r="K243" s="25" t="n">
        <f aca="false">(K242+J242)/2</f>
        <v>335</v>
      </c>
      <c r="L243" s="25" t="n">
        <f aca="false">(L242+K242)/2</f>
        <v>295</v>
      </c>
      <c r="M243" s="25" t="n">
        <f aca="false">(M242+L242)/2</f>
        <v>255</v>
      </c>
      <c r="N243" s="25" t="n">
        <f aca="false">(N242+M242)/2</f>
        <v>215</v>
      </c>
    </row>
    <row r="244" customFormat="false" ht="15" hidden="false" customHeight="false" outlineLevel="0" collapsed="false">
      <c r="B244" s="9" t="s">
        <v>74</v>
      </c>
      <c r="E244" s="28" t="n">
        <f aca="false">Inputs!$C$6*Inputs!$C$8*12*(1+Inputs!$C$9)^(E$235-1)/1000000</f>
        <v>20.91</v>
      </c>
      <c r="F244" s="28" t="n">
        <f aca="false">Inputs!$C$6*Inputs!$C$8*12*(1+Inputs!$C$9)^(F$235-1)/1000000</f>
        <v>21.43275</v>
      </c>
      <c r="G244" s="28" t="n">
        <f aca="false">Inputs!$C$6*Inputs!$C$8*12*(1+Inputs!$C$9)^(G$235-1)/1000000</f>
        <v>21.96856875</v>
      </c>
      <c r="H244" s="28" t="n">
        <f aca="false">Inputs!$C$6*Inputs!$C$8*12*(1+Inputs!$C$9)^(H$235-1)/1000000</f>
        <v>22.51778296875</v>
      </c>
      <c r="I244" s="28" t="n">
        <f aca="false">Inputs!$C$6*Inputs!$C$8*12*(1+Inputs!$C$9)^(I$235-1)/1000000</f>
        <v>23.0807275429687</v>
      </c>
      <c r="J244" s="28" t="n">
        <f aca="false">Inputs!$C$6*Inputs!$C$8*12*(1+Inputs!$C$9)^(J$235-1)/1000000</f>
        <v>23.657745731543</v>
      </c>
      <c r="K244" s="28" t="n">
        <f aca="false">Inputs!$C$6*Inputs!$C$8*12*(1+Inputs!$C$9)^(K$235-1)/1000000</f>
        <v>24.2491893748315</v>
      </c>
      <c r="L244" s="28" t="n">
        <f aca="false">Inputs!$C$6*Inputs!$C$8*12*(1+Inputs!$C$9)^(L$235-1)/1000000</f>
        <v>24.8554191092023</v>
      </c>
      <c r="M244" s="28" t="n">
        <f aca="false">Inputs!$C$6*Inputs!$C$8*12*(1+Inputs!$C$9)^(M$235-1)/1000000</f>
        <v>25.4768045869324</v>
      </c>
      <c r="N244" s="28" t="n">
        <f aca="false">Inputs!$C$6*Inputs!$C$8*12*(1+Inputs!$C$9)^(N$235-1)/1000000</f>
        <v>26.1137247016057</v>
      </c>
    </row>
    <row r="245" customFormat="false" ht="15" hidden="false" customHeight="false" outlineLevel="0" collapsed="false">
      <c r="B245" s="9" t="s">
        <v>75</v>
      </c>
      <c r="E245" s="28" t="n">
        <f aca="false">E240*Inputs!$C$10*12*(1+Inputs!$C$11)^(E$235-1)/1000000</f>
        <v>8.24964</v>
      </c>
      <c r="F245" s="28" t="n">
        <f aca="false">F240*Inputs!$C$10*12*(1+Inputs!$C$11)^(F$235-1)/1000000</f>
        <v>8.963722908</v>
      </c>
      <c r="G245" s="28" t="n">
        <f aca="false">G240*Inputs!$C$10*12*(1+Inputs!$C$11)^(G$235-1)/1000000</f>
        <v>9.7084201992876</v>
      </c>
      <c r="H245" s="28" t="n">
        <f aca="false">H240*Inputs!$C$10*12*(1+Inputs!$C$11)^(H$235-1)/1000000</f>
        <v>10.4848313857136</v>
      </c>
      <c r="I245" s="28" t="n">
        <f aca="false">I240*Inputs!$C$10*12*(1+Inputs!$C$11)^(I$235-1)/1000000</f>
        <v>11.2940925317671</v>
      </c>
      <c r="J245" s="28" t="n">
        <f aca="false">J240*Inputs!$C$10*12*(1+Inputs!$C$11)^(J$235-1)/1000000</f>
        <v>12.1373774214306</v>
      </c>
      <c r="K245" s="28" t="n">
        <f aca="false">K240*Inputs!$C$10*12*(1+Inputs!$C$11)^(K$235-1)/1000000</f>
        <v>13.015898761424</v>
      </c>
      <c r="L245" s="28" t="n">
        <f aca="false">L240*Inputs!$C$10*12*(1+Inputs!$C$11)^(L$235-1)/1000000</f>
        <v>13.9309094219591</v>
      </c>
      <c r="M245" s="28" t="n">
        <f aca="false">M240*Inputs!$C$10*12*(1+Inputs!$C$11)^(M$235-1)/1000000</f>
        <v>14.8837037161548</v>
      </c>
      <c r="N245" s="28" t="n">
        <f aca="false">N240*Inputs!$C$10*12*(1+Inputs!$C$11)^(N$235-1)/1000000</f>
        <v>15.8756187193036</v>
      </c>
    </row>
    <row r="246" customFormat="false" ht="15" hidden="false" customHeight="false" outlineLevel="0" collapsed="false">
      <c r="B246" s="9" t="s">
        <v>76</v>
      </c>
      <c r="E246" s="28" t="n">
        <f aca="false">E244+E245</f>
        <v>29.15964</v>
      </c>
      <c r="F246" s="28" t="n">
        <f aca="false">F244+F245</f>
        <v>30.396472908</v>
      </c>
      <c r="G246" s="28" t="n">
        <f aca="false">G244+G245</f>
        <v>31.6769889492876</v>
      </c>
      <c r="H246" s="28" t="n">
        <f aca="false">H244+H245</f>
        <v>33.0026143544636</v>
      </c>
      <c r="I246" s="28" t="n">
        <f aca="false">I244+I245</f>
        <v>34.3748200747359</v>
      </c>
      <c r="J246" s="28" t="n">
        <f aca="false">J244+J245</f>
        <v>35.7951231529735</v>
      </c>
      <c r="K246" s="28" t="n">
        <f aca="false">K244+K245</f>
        <v>37.2650881362556</v>
      </c>
      <c r="L246" s="28" t="n">
        <f aca="false">L244+L245</f>
        <v>38.7863285311614</v>
      </c>
      <c r="M246" s="28" t="n">
        <f aca="false">M244+M245</f>
        <v>40.3605083030872</v>
      </c>
      <c r="N246" s="28" t="n">
        <f aca="false">N244+N245</f>
        <v>41.9893434209093</v>
      </c>
    </row>
    <row r="247" customFormat="false" ht="15" hidden="false" customHeight="false" outlineLevel="0" collapsed="false">
      <c r="B247" s="9" t="s">
        <v>77</v>
      </c>
      <c r="E247" s="28" t="n">
        <f aca="false">Inputs!$C$20*12*(1+Inputs!$C$21)^(E$235-1)</f>
        <v>13800</v>
      </c>
      <c r="F247" s="28" t="n">
        <f aca="false">Inputs!$C$20*12*(1+Inputs!$C$21)^(F$235-1)</f>
        <v>14214</v>
      </c>
      <c r="G247" s="28" t="n">
        <f aca="false">Inputs!$C$20*12*(1+Inputs!$C$21)^(G$235-1)</f>
        <v>14640.42</v>
      </c>
      <c r="H247" s="28" t="n">
        <f aca="false">Inputs!$C$20*12*(1+Inputs!$C$21)^(H$235-1)</f>
        <v>15079.6326</v>
      </c>
      <c r="I247" s="28" t="n">
        <f aca="false">Inputs!$C$20*12*(1+Inputs!$C$21)^(I$235-1)</f>
        <v>15532.021578</v>
      </c>
      <c r="J247" s="28" t="n">
        <f aca="false">Inputs!$C$20*12*(1+Inputs!$C$21)^(J$235-1)</f>
        <v>15997.98222534</v>
      </c>
      <c r="K247" s="28" t="n">
        <f aca="false">Inputs!$C$20*12*(1+Inputs!$C$21)^(K$235-1)</f>
        <v>16477.9216921002</v>
      </c>
      <c r="L247" s="28" t="n">
        <f aca="false">Inputs!$C$20*12*(1+Inputs!$C$21)^(L$235-1)</f>
        <v>16972.2593428632</v>
      </c>
      <c r="M247" s="28" t="n">
        <f aca="false">Inputs!$C$20*12*(1+Inputs!$C$21)^(M$235-1)</f>
        <v>17481.4271231491</v>
      </c>
      <c r="N247" s="28" t="n">
        <f aca="false">Inputs!$C$20*12*(1+Inputs!$C$21)^(N$235-1)</f>
        <v>18005.8699368436</v>
      </c>
    </row>
    <row r="248" customFormat="false" ht="15" hidden="false" customHeight="false" outlineLevel="0" collapsed="false">
      <c r="B248" s="9" t="s">
        <v>78</v>
      </c>
      <c r="E248" s="28" t="n">
        <f aca="false">E243*E247/1000000</f>
        <v>7.935</v>
      </c>
      <c r="F248" s="28" t="n">
        <f aca="false">F243*F247/1000000</f>
        <v>7.60449</v>
      </c>
      <c r="G248" s="28" t="n">
        <f aca="false">G243*G247/1000000</f>
        <v>7.2470079</v>
      </c>
      <c r="H248" s="28" t="n">
        <f aca="false">H243*H247/1000000</f>
        <v>6.861232833</v>
      </c>
      <c r="I248" s="28" t="n">
        <f aca="false">I243*I247/1000000</f>
        <v>6.44578895487</v>
      </c>
      <c r="J248" s="28" t="n">
        <f aca="false">J243*J247/1000000</f>
        <v>5.9992433345025</v>
      </c>
      <c r="K248" s="28" t="n">
        <f aca="false">K243*K247/1000000</f>
        <v>5.52010376685357</v>
      </c>
      <c r="L248" s="28" t="n">
        <f aca="false">L243*L247/1000000</f>
        <v>5.00681650614465</v>
      </c>
      <c r="M248" s="28" t="n">
        <f aca="false">M243*M247/1000000</f>
        <v>4.45776391640302</v>
      </c>
      <c r="N248" s="28" t="n">
        <f aca="false">N243*N247/1000000</f>
        <v>3.87126203642137</v>
      </c>
    </row>
    <row r="249" customFormat="false" ht="15" hidden="false" customHeight="false" outlineLevel="0" collapsed="false">
      <c r="B249" s="9" t="s">
        <v>79</v>
      </c>
      <c r="E249" s="28" t="n">
        <f aca="false">Inputs!$C$6*Inputs!$C$24*12*(1+Inputs!$C$25)^(E$235-1)/1000000</f>
        <v>3.57</v>
      </c>
      <c r="F249" s="28" t="n">
        <f aca="false">Inputs!$C$6*Inputs!$C$24*12*(1+Inputs!$C$25)^(F$235-1)/1000000</f>
        <v>3.65925</v>
      </c>
      <c r="G249" s="28" t="n">
        <f aca="false">Inputs!$C$6*Inputs!$C$24*12*(1+Inputs!$C$25)^(G$235-1)/1000000</f>
        <v>3.75073125</v>
      </c>
      <c r="H249" s="28" t="n">
        <f aca="false">Inputs!$C$6*Inputs!$C$24*12*(1+Inputs!$C$25)^(H$235-1)/1000000</f>
        <v>3.84449953125</v>
      </c>
      <c r="I249" s="28" t="n">
        <f aca="false">Inputs!$C$6*Inputs!$C$24*12*(1+Inputs!$C$25)^(I$235-1)/1000000</f>
        <v>3.94061201953125</v>
      </c>
      <c r="J249" s="28" t="n">
        <f aca="false">Inputs!$C$6*Inputs!$C$24*12*(1+Inputs!$C$25)^(J$235-1)/1000000</f>
        <v>4.03912732001953</v>
      </c>
      <c r="K249" s="28" t="n">
        <f aca="false">Inputs!$C$6*Inputs!$C$24*12*(1+Inputs!$C$25)^(K$235-1)/1000000</f>
        <v>4.14010550302002</v>
      </c>
      <c r="L249" s="28" t="n">
        <f aca="false">Inputs!$C$6*Inputs!$C$24*12*(1+Inputs!$C$25)^(L$235-1)/1000000</f>
        <v>4.24360814059552</v>
      </c>
      <c r="M249" s="28" t="n">
        <f aca="false">Inputs!$C$6*Inputs!$C$24*12*(1+Inputs!$C$25)^(M$235-1)/1000000</f>
        <v>4.34969834411041</v>
      </c>
      <c r="N249" s="28" t="n">
        <f aca="false">Inputs!$C$6*Inputs!$C$24*12*(1+Inputs!$C$25)^(N$235-1)/1000000</f>
        <v>4.45844080271317</v>
      </c>
    </row>
    <row r="250" customFormat="false" ht="15" hidden="false" customHeight="false" outlineLevel="0" collapsed="false">
      <c r="B250" s="9" t="s">
        <v>80</v>
      </c>
      <c r="E250" s="28" t="n">
        <f aca="false">Inputs!$C$26*(1+Inputs!$C$27)^(E$235-1)</f>
        <v>4.5</v>
      </c>
      <c r="F250" s="28" t="n">
        <f aca="false">Inputs!$C$26*(1+Inputs!$C$27)^(F$235-1)</f>
        <v>4.635</v>
      </c>
      <c r="G250" s="28" t="n">
        <f aca="false">Inputs!$C$26*(1+Inputs!$C$27)^(G$235-1)</f>
        <v>4.77405</v>
      </c>
      <c r="H250" s="28" t="n">
        <f aca="false">Inputs!$C$26*(1+Inputs!$C$27)^(H$235-1)</f>
        <v>4.9172715</v>
      </c>
      <c r="I250" s="28" t="n">
        <f aca="false">Inputs!$C$26*(1+Inputs!$C$27)^(I$235-1)</f>
        <v>5.064789645</v>
      </c>
      <c r="J250" s="28" t="n">
        <f aca="false">Inputs!$C$26*(1+Inputs!$C$27)^(J$235-1)</f>
        <v>5.21673333435</v>
      </c>
      <c r="K250" s="28" t="n">
        <f aca="false">Inputs!$C$26*(1+Inputs!$C$27)^(K$235-1)</f>
        <v>5.3732353343805</v>
      </c>
      <c r="L250" s="28" t="n">
        <f aca="false">Inputs!$C$26*(1+Inputs!$C$27)^(L$235-1)</f>
        <v>5.53443239441192</v>
      </c>
      <c r="M250" s="28" t="n">
        <f aca="false">Inputs!$C$26*(1+Inputs!$C$27)^(M$235-1)</f>
        <v>5.70046536624427</v>
      </c>
      <c r="N250" s="28" t="n">
        <f aca="false">Inputs!$C$26*(1+Inputs!$C$27)^(N$235-1)</f>
        <v>5.8714793272316</v>
      </c>
    </row>
    <row r="251" customFormat="false" ht="15" hidden="false" customHeight="false" outlineLevel="0" collapsed="false">
      <c r="B251" s="29" t="s">
        <v>81</v>
      </c>
      <c r="E251" s="30" t="n">
        <f aca="false">E246-E248-E249-E250</f>
        <v>13.15464</v>
      </c>
      <c r="F251" s="30" t="n">
        <f aca="false">F246-F248-F249-F250</f>
        <v>14.497732908</v>
      </c>
      <c r="G251" s="30" t="n">
        <f aca="false">G246-G248-G249-G250</f>
        <v>15.9051997992876</v>
      </c>
      <c r="H251" s="30" t="n">
        <f aca="false">H246-H248-H249-H250</f>
        <v>17.3796104902136</v>
      </c>
      <c r="I251" s="30" t="n">
        <f aca="false">I246-I248-I249-I250</f>
        <v>18.9236294553346</v>
      </c>
      <c r="J251" s="30" t="n">
        <f aca="false">J246-J248-J249-J250</f>
        <v>20.5400191641015</v>
      </c>
      <c r="K251" s="30" t="n">
        <f aca="false">K246-K248-K249-K250</f>
        <v>22.2316435320015</v>
      </c>
      <c r="L251" s="30" t="n">
        <f aca="false">L246-L248-L249-L250</f>
        <v>24.0014714900094</v>
      </c>
      <c r="M251" s="30" t="n">
        <f aca="false">M246-M248-M249-M250</f>
        <v>25.8525806763295</v>
      </c>
      <c r="N251" s="30" t="n">
        <f aca="false">N246-N248-N249-N250</f>
        <v>27.7881612545431</v>
      </c>
    </row>
    <row r="252" customFormat="false" ht="15" hidden="false" customHeight="false" outlineLevel="0" collapsed="false">
      <c r="B252" s="9" t="s">
        <v>82</v>
      </c>
      <c r="E252" s="28" t="n">
        <f aca="false">Inputs!$C$6*Inputs!$C$28*(1+Inputs!$C$29)^(E$235-1)/1000000</f>
        <v>1.02</v>
      </c>
      <c r="F252" s="28" t="n">
        <f aca="false">Inputs!$C$6*Inputs!$C$28*(1+Inputs!$C$29)^(F$235-1)/1000000</f>
        <v>1.0506</v>
      </c>
      <c r="G252" s="28" t="n">
        <f aca="false">Inputs!$C$6*Inputs!$C$28*(1+Inputs!$C$29)^(G$235-1)/1000000</f>
        <v>1.082118</v>
      </c>
      <c r="H252" s="28" t="n">
        <f aca="false">Inputs!$C$6*Inputs!$C$28*(1+Inputs!$C$29)^(H$235-1)/1000000</f>
        <v>1.11458154</v>
      </c>
      <c r="I252" s="28" t="n">
        <f aca="false">Inputs!$C$6*Inputs!$C$28*(1+Inputs!$C$29)^(I$235-1)/1000000</f>
        <v>1.1480189862</v>
      </c>
      <c r="J252" s="28" t="n">
        <f aca="false">Inputs!$C$6*Inputs!$C$28*(1+Inputs!$C$29)^(J$235-1)/1000000</f>
        <v>1.182459555786</v>
      </c>
      <c r="K252" s="28" t="n">
        <f aca="false">Inputs!$C$6*Inputs!$C$28*(1+Inputs!$C$29)^(K$235-1)/1000000</f>
        <v>1.21793334245958</v>
      </c>
      <c r="L252" s="28" t="n">
        <f aca="false">Inputs!$C$6*Inputs!$C$28*(1+Inputs!$C$29)^(L$235-1)/1000000</f>
        <v>1.25447134273337</v>
      </c>
      <c r="M252" s="28" t="n">
        <f aca="false">Inputs!$C$6*Inputs!$C$28*(1+Inputs!$C$29)^(M$235-1)/1000000</f>
        <v>1.29210548301537</v>
      </c>
      <c r="N252" s="28" t="n">
        <f aca="false">Inputs!$C$6*Inputs!$C$28*(1+Inputs!$C$29)^(N$235-1)/1000000</f>
        <v>1.33086864750583</v>
      </c>
    </row>
    <row r="253" customFormat="false" ht="15" hidden="false" customHeight="false" outlineLevel="0" collapsed="false">
      <c r="B253" s="9" t="s">
        <v>83</v>
      </c>
      <c r="E253" s="28" t="n">
        <f aca="false">E236*Inputs!$C$30*(1+Inputs!$C$29)^(E$235-1)/1000000</f>
        <v>0.3825</v>
      </c>
      <c r="F253" s="28" t="n">
        <f aca="false">F236*Inputs!$C$30*(1+Inputs!$C$29)^(F$235-1)/1000000</f>
        <v>0.393975</v>
      </c>
      <c r="G253" s="28" t="n">
        <f aca="false">G236*Inputs!$C$30*(1+Inputs!$C$29)^(G$235-1)/1000000</f>
        <v>0.40579425</v>
      </c>
      <c r="H253" s="28" t="n">
        <f aca="false">H236*Inputs!$C$30*(1+Inputs!$C$29)^(H$235-1)/1000000</f>
        <v>0.4179680775</v>
      </c>
      <c r="I253" s="28" t="n">
        <f aca="false">I236*Inputs!$C$30*(1+Inputs!$C$29)^(I$235-1)/1000000</f>
        <v>0.430507119825</v>
      </c>
      <c r="J253" s="28" t="n">
        <f aca="false">J236*Inputs!$C$30*(1+Inputs!$C$29)^(J$235-1)/1000000</f>
        <v>0.44342233341975</v>
      </c>
      <c r="K253" s="28" t="n">
        <f aca="false">K236*Inputs!$C$30*(1+Inputs!$C$29)^(K$235-1)/1000000</f>
        <v>0.456725003422343</v>
      </c>
      <c r="L253" s="28" t="n">
        <f aca="false">L236*Inputs!$C$30*(1+Inputs!$C$29)^(L$235-1)/1000000</f>
        <v>0.470426753525013</v>
      </c>
      <c r="M253" s="28" t="n">
        <f aca="false">M236*Inputs!$C$30*(1+Inputs!$C$29)^(M$235-1)/1000000</f>
        <v>0.484539556130763</v>
      </c>
      <c r="N253" s="28" t="n">
        <f aca="false">N236*Inputs!$C$30*(1+Inputs!$C$29)^(N$235-1)/1000000</f>
        <v>0.499075742814686</v>
      </c>
    </row>
    <row r="254" customFormat="false" ht="15" hidden="false" customHeight="false" outlineLevel="0" collapsed="false">
      <c r="B254" s="9" t="s">
        <v>84</v>
      </c>
      <c r="E254" s="28" t="n">
        <f aca="false">(D242-E242)*E247*Inputs!$C$23/1000000</f>
        <v>8.832</v>
      </c>
      <c r="F254" s="28" t="n">
        <f aca="false">(E242-F242)*F247*Inputs!$C$23/1000000</f>
        <v>9.09696</v>
      </c>
      <c r="G254" s="28" t="n">
        <f aca="false">(F242-G242)*G247*Inputs!$C$23/1000000</f>
        <v>9.3698688</v>
      </c>
      <c r="H254" s="28" t="n">
        <f aca="false">(G242-H242)*H247*Inputs!$C$23/1000000</f>
        <v>9.650964864</v>
      </c>
      <c r="I254" s="28" t="n">
        <f aca="false">(H242-I242)*I247*Inputs!$C$23/1000000</f>
        <v>9.94049380992</v>
      </c>
      <c r="J254" s="28" t="n">
        <f aca="false">(I242-J242)*J247*Inputs!$C$23/1000000</f>
        <v>10.2387086242176</v>
      </c>
      <c r="K254" s="28" t="n">
        <f aca="false">(J242-K242)*K247*Inputs!$C$23/1000000</f>
        <v>10.5458698829441</v>
      </c>
      <c r="L254" s="28" t="n">
        <f aca="false">(K242-L242)*L247*Inputs!$C$23/1000000</f>
        <v>10.8622459794325</v>
      </c>
      <c r="M254" s="28" t="n">
        <f aca="false">(L242-M242)*M247*Inputs!$C$23/1000000</f>
        <v>11.1881133588154</v>
      </c>
      <c r="N254" s="28" t="n">
        <f aca="false">(M242-N242)*N247*Inputs!$C$23/1000000</f>
        <v>11.5237567595799</v>
      </c>
    </row>
    <row r="255" customFormat="false" ht="15" hidden="false" customHeight="false" outlineLevel="0" collapsed="false">
      <c r="B255" s="29" t="s">
        <v>85</v>
      </c>
      <c r="E255" s="30" t="n">
        <f aca="false">E251-E252-E253-E254</f>
        <v>2.92014</v>
      </c>
      <c r="F255" s="30" t="n">
        <f aca="false">F251-F252-F253-F254</f>
        <v>3.956197908</v>
      </c>
      <c r="G255" s="30" t="n">
        <f aca="false">G251-G252-G253-G254</f>
        <v>5.0474187492876</v>
      </c>
      <c r="H255" s="30" t="n">
        <f aca="false">H251-H252-H253-H254</f>
        <v>6.19609600871356</v>
      </c>
      <c r="I255" s="30" t="n">
        <f aca="false">I251-I252-I253-I254</f>
        <v>7.40460953938962</v>
      </c>
      <c r="J255" s="30" t="n">
        <f aca="false">J251-J252-J253-J254</f>
        <v>8.67542865067816</v>
      </c>
      <c r="K255" s="30" t="n">
        <f aca="false">K251-K252-K253-K254</f>
        <v>10.0111153031754</v>
      </c>
      <c r="L255" s="30" t="n">
        <f aca="false">L251-L252-L253-L254</f>
        <v>11.4143274143185</v>
      </c>
      <c r="M255" s="30" t="n">
        <f aca="false">M251-M252-M253-M254</f>
        <v>12.8878222783679</v>
      </c>
      <c r="N255" s="30" t="n">
        <f aca="false">N251-N252-N253-N254</f>
        <v>14.4344601046427</v>
      </c>
    </row>
    <row r="256" customFormat="false" ht="15" hidden="false" customHeight="false" outlineLevel="0" collapsed="false">
      <c r="B256" s="9" t="s">
        <v>86</v>
      </c>
      <c r="C256" s="28" t="n">
        <f aca="false">Inputs!$C$33*(1+Inputs!$C$34)</f>
        <v>287.64</v>
      </c>
    </row>
    <row r="257" customFormat="false" ht="15" hidden="false" customHeight="false" outlineLevel="0" collapsed="false">
      <c r="B257" s="29" t="s">
        <v>87</v>
      </c>
      <c r="C257" s="30" t="n">
        <f aca="false">N251*$C$234*(1-Inputs!$C$36)</f>
        <v>520.055437878775</v>
      </c>
    </row>
    <row r="258" customFormat="false" ht="15" hidden="false" customHeight="false" outlineLevel="0" collapsed="false">
      <c r="B258" s="9" t="s">
        <v>88</v>
      </c>
      <c r="C258" s="28" t="n">
        <f aca="false">Inputs!$C$37*E251</f>
        <v>92.08248</v>
      </c>
    </row>
    <row r="259" customFormat="false" ht="15" hidden="false" customHeight="false" outlineLevel="0" collapsed="false">
      <c r="B259" s="9" t="s">
        <v>89</v>
      </c>
      <c r="C259" s="28" t="n">
        <f aca="false">Inputs!$C$40*INDEX(E251:N251,Inputs!$C$39)</f>
        <v>155.62150472401</v>
      </c>
    </row>
    <row r="260" customFormat="false" ht="15" hidden="false" customHeight="false" outlineLevel="0" collapsed="false">
      <c r="B260" s="29" t="s">
        <v>90</v>
      </c>
      <c r="D260" s="30" t="n">
        <f aca="false">-$C$256</f>
        <v>-287.64</v>
      </c>
      <c r="E260" s="30" t="n">
        <f aca="false">E255</f>
        <v>2.92014</v>
      </c>
      <c r="F260" s="30" t="n">
        <f aca="false">F255</f>
        <v>3.956197908</v>
      </c>
      <c r="G260" s="30" t="n">
        <f aca="false">G255</f>
        <v>5.0474187492876</v>
      </c>
      <c r="H260" s="30" t="n">
        <f aca="false">H255</f>
        <v>6.19609600871356</v>
      </c>
      <c r="I260" s="30" t="n">
        <f aca="false">I255</f>
        <v>7.40460953938962</v>
      </c>
      <c r="J260" s="30" t="n">
        <f aca="false">J255</f>
        <v>8.67542865067816</v>
      </c>
      <c r="K260" s="30" t="n">
        <f aca="false">K255</f>
        <v>10.0111153031754</v>
      </c>
      <c r="L260" s="30" t="n">
        <f aca="false">L255</f>
        <v>11.4143274143185</v>
      </c>
      <c r="M260" s="30" t="n">
        <f aca="false">M255</f>
        <v>12.8878222783679</v>
      </c>
      <c r="N260" s="30" t="n">
        <f aca="false">N255+$C$257</f>
        <v>534.489897983418</v>
      </c>
    </row>
    <row r="262" customFormat="false" ht="15" hidden="false" customHeight="false" outlineLevel="0" collapsed="false">
      <c r="B262" s="23" t="s">
        <v>91</v>
      </c>
      <c r="C262" s="24"/>
      <c r="D262" s="24" t="n">
        <v>0</v>
      </c>
      <c r="E262" s="24" t="n">
        <v>1</v>
      </c>
      <c r="F262" s="24" t="n">
        <v>2</v>
      </c>
      <c r="G262" s="24" t="n">
        <v>3</v>
      </c>
      <c r="H262" s="24" t="n">
        <v>4</v>
      </c>
      <c r="I262" s="24" t="n">
        <v>5</v>
      </c>
      <c r="J262" s="24" t="n">
        <v>6</v>
      </c>
      <c r="K262" s="24" t="n">
        <v>7</v>
      </c>
      <c r="L262" s="24" t="n">
        <v>8</v>
      </c>
      <c r="M262" s="24" t="n">
        <v>9</v>
      </c>
      <c r="N262" s="24" t="n">
        <v>10</v>
      </c>
    </row>
    <row r="263" customFormat="false" ht="15" hidden="false" customHeight="false" outlineLevel="0" collapsed="false">
      <c r="B263" s="9" t="s">
        <v>92</v>
      </c>
      <c r="E263" s="28" t="n">
        <f aca="false">IF(E$262&lt;Inputs!$C$39,$C$258,$C$259)</f>
        <v>92.08248</v>
      </c>
      <c r="F263" s="28" t="n">
        <f aca="false">IF(F$262&lt;Inputs!$C$39,$C$258,$C$259)</f>
        <v>92.08248</v>
      </c>
      <c r="G263" s="28" t="n">
        <f aca="false">IF(G$262&lt;Inputs!$C$39,$C$258,$C$259)</f>
        <v>92.08248</v>
      </c>
      <c r="H263" s="28" t="n">
        <f aca="false">IF(H$262&lt;Inputs!$C$39,$C$258,$C$259)</f>
        <v>92.08248</v>
      </c>
      <c r="I263" s="28" t="n">
        <f aca="false">IF(I$262&lt;Inputs!$C$39,$C$258,$C$259)</f>
        <v>92.08248</v>
      </c>
      <c r="J263" s="28" t="n">
        <f aca="false">IF(J$262&lt;Inputs!$C$39,$C$258,$C$259)</f>
        <v>92.08248</v>
      </c>
      <c r="K263" s="28" t="n">
        <f aca="false">IF(K$262&lt;Inputs!$C$39,$C$258,$C$259)</f>
        <v>155.62150472401</v>
      </c>
      <c r="L263" s="28" t="n">
        <f aca="false">IF(L$262&lt;Inputs!$C$39,$C$258,$C$259)</f>
        <v>155.62150472401</v>
      </c>
      <c r="M263" s="28" t="n">
        <f aca="false">IF(M$262&lt;Inputs!$C$39,$C$258,$C$259)</f>
        <v>155.62150472401</v>
      </c>
      <c r="N263" s="28" t="n">
        <f aca="false">IF(N$262&lt;Inputs!$C$39,$C$258,$C$259)</f>
        <v>155.62150472401</v>
      </c>
    </row>
    <row r="264" customFormat="false" ht="15" hidden="false" customHeight="false" outlineLevel="0" collapsed="false">
      <c r="B264" s="9" t="s">
        <v>93</v>
      </c>
      <c r="E264" s="28" t="n">
        <f aca="false">IF(E$262&lt;=Inputs!$C$39,$C$258*Inputs!$C$38,$C$259*Inputs!$C$41)</f>
        <v>5.755155</v>
      </c>
      <c r="F264" s="28" t="n">
        <f aca="false">IF(F$262&lt;=Inputs!$C$39,$C$258*Inputs!$C$38,$C$259*Inputs!$C$41)</f>
        <v>5.755155</v>
      </c>
      <c r="G264" s="28" t="n">
        <f aca="false">IF(G$262&lt;=Inputs!$C$39,$C$258*Inputs!$C$38,$C$259*Inputs!$C$41)</f>
        <v>5.755155</v>
      </c>
      <c r="H264" s="28" t="n">
        <f aca="false">IF(H$262&lt;=Inputs!$C$39,$C$258*Inputs!$C$38,$C$259*Inputs!$C$41)</f>
        <v>5.755155</v>
      </c>
      <c r="I264" s="28" t="n">
        <f aca="false">IF(I$262&lt;=Inputs!$C$39,$C$258*Inputs!$C$38,$C$259*Inputs!$C$41)</f>
        <v>5.755155</v>
      </c>
      <c r="J264" s="28" t="n">
        <f aca="false">IF(J$262&lt;=Inputs!$C$39,$C$258*Inputs!$C$38,$C$259*Inputs!$C$41)</f>
        <v>5.755155</v>
      </c>
      <c r="K264" s="28" t="n">
        <f aca="false">IF(K$262&lt;=Inputs!$C$39,$C$258*Inputs!$C$38,$C$259*Inputs!$C$41)</f>
        <v>5.755155</v>
      </c>
      <c r="L264" s="28" t="n">
        <f aca="false">IF(L$262&lt;=Inputs!$C$39,$C$258*Inputs!$C$38,$C$259*Inputs!$C$41)</f>
        <v>10.1153978070607</v>
      </c>
      <c r="M264" s="28" t="n">
        <f aca="false">IF(M$262&lt;=Inputs!$C$39,$C$258*Inputs!$C$38,$C$259*Inputs!$C$41)</f>
        <v>10.1153978070607</v>
      </c>
      <c r="N264" s="28" t="n">
        <f aca="false">IF(N$262&lt;=Inputs!$C$39,$C$258*Inputs!$C$38,$C$259*Inputs!$C$41)</f>
        <v>10.1153978070607</v>
      </c>
    </row>
    <row r="265" customFormat="false" ht="15" hidden="false" customHeight="false" outlineLevel="0" collapsed="false">
      <c r="B265" s="9" t="s">
        <v>94</v>
      </c>
      <c r="E265" s="26" t="n">
        <f aca="false">E263/E251</f>
        <v>7</v>
      </c>
      <c r="F265" s="26" t="n">
        <f aca="false">F263/F251</f>
        <v>6.35150892793645</v>
      </c>
      <c r="G265" s="26" t="n">
        <f aca="false">G263/G251</f>
        <v>5.78945760895908</v>
      </c>
      <c r="H265" s="26" t="n">
        <f aca="false">H263/H251</f>
        <v>5.29830516350476</v>
      </c>
      <c r="I265" s="26" t="n">
        <f aca="false">I263/I251</f>
        <v>4.8660052352717</v>
      </c>
      <c r="J265" s="26" t="n">
        <f aca="false">J263/J251</f>
        <v>4.48307663514432</v>
      </c>
      <c r="K265" s="26" t="n">
        <f aca="false">K263/K251</f>
        <v>7</v>
      </c>
      <c r="L265" s="26" t="n">
        <f aca="false">L263/L251</f>
        <v>6.48383182626066</v>
      </c>
      <c r="M265" s="26" t="n">
        <f aca="false">M263/M251</f>
        <v>6.01957331348731</v>
      </c>
      <c r="N265" s="26" t="n">
        <f aca="false">N263/N251</f>
        <v>5.60028075620036</v>
      </c>
    </row>
    <row r="266" customFormat="false" ht="15" hidden="false" customHeight="false" outlineLevel="0" collapsed="false">
      <c r="B266" s="9" t="s">
        <v>95</v>
      </c>
      <c r="E266" s="26" t="n">
        <f aca="false">E251/E264</f>
        <v>2.28571428571429</v>
      </c>
      <c r="F266" s="26" t="n">
        <f aca="false">F251/F264</f>
        <v>2.51908643781097</v>
      </c>
      <c r="G266" s="26" t="n">
        <f aca="false">G251/G264</f>
        <v>2.7636440372653</v>
      </c>
      <c r="H266" s="26" t="n">
        <f aca="false">H251/H264</f>
        <v>3.01983360834131</v>
      </c>
      <c r="I266" s="26" t="n">
        <f aca="false">I251/I264</f>
        <v>3.28811812285414</v>
      </c>
      <c r="J266" s="26" t="n">
        <f aca="false">J251/J264</f>
        <v>3.56897757994381</v>
      </c>
      <c r="K266" s="26" t="n">
        <f aca="false">K251/K264</f>
        <v>3.86290960573633</v>
      </c>
      <c r="L266" s="26" t="n">
        <f aca="false">L251/L264</f>
        <v>2.37276595026802</v>
      </c>
      <c r="M266" s="26" t="n">
        <f aca="false">M251/M264</f>
        <v>2.55576509885593</v>
      </c>
      <c r="N266" s="26" t="n">
        <f aca="false">N251/N264</f>
        <v>2.7471150205429</v>
      </c>
    </row>
    <row r="267" customFormat="false" ht="15" hidden="false" customHeight="false" outlineLevel="0" collapsed="false">
      <c r="B267" s="9" t="s">
        <v>96</v>
      </c>
      <c r="D267" s="28" t="n">
        <f aca="false">$C$258*(1-Inputs!$C$42)</f>
        <v>91.1616552</v>
      </c>
      <c r="E267" s="28" t="n">
        <f aca="false">-E264+IF(E$262=Inputs!$C$39,$C$259*(1-Inputs!$C$42)-$C$258,0)</f>
        <v>-5.755155</v>
      </c>
      <c r="F267" s="28" t="n">
        <f aca="false">-F264+IF(F$262=Inputs!$C$39,$C$259*(1-Inputs!$C$42)-$C$258,0)</f>
        <v>-5.755155</v>
      </c>
      <c r="G267" s="28" t="n">
        <f aca="false">-G264+IF(G$262=Inputs!$C$39,$C$259*(1-Inputs!$C$42)-$C$258,0)</f>
        <v>-5.755155</v>
      </c>
      <c r="H267" s="28" t="n">
        <f aca="false">-H264+IF(H$262=Inputs!$C$39,$C$259*(1-Inputs!$C$42)-$C$258,0)</f>
        <v>-5.755155</v>
      </c>
      <c r="I267" s="28" t="n">
        <f aca="false">-I264+IF(I$262=Inputs!$C$39,$C$259*(1-Inputs!$C$42)-$C$258,0)</f>
        <v>-5.755155</v>
      </c>
      <c r="J267" s="28" t="n">
        <f aca="false">-J264+IF(J$262=Inputs!$C$39,$C$259*(1-Inputs!$C$42)-$C$258,0)</f>
        <v>-5.755155</v>
      </c>
      <c r="K267" s="28" t="n">
        <f aca="false">-K264+IF(K$262=Inputs!$C$39,$C$259*(1-Inputs!$C$42)-$C$258,0)</f>
        <v>56.2276546767703</v>
      </c>
      <c r="L267" s="28" t="n">
        <f aca="false">-L264+IF(L$262=Inputs!$C$39,$C$259*(1-Inputs!$C$42)-$C$258,0)</f>
        <v>-10.1153978070607</v>
      </c>
      <c r="M267" s="28" t="n">
        <f aca="false">-M264+IF(M$262=Inputs!$C$39,$C$259*(1-Inputs!$C$42)-$C$258,0)</f>
        <v>-10.1153978070607</v>
      </c>
      <c r="N267" s="28" t="n">
        <f aca="false">-N264+IF(N$262=Inputs!$C$39,$C$259*(1-Inputs!$C$42)-$C$258,0)-$C$259</f>
        <v>-165.736902531071</v>
      </c>
    </row>
    <row r="268" customFormat="false" ht="15" hidden="false" customHeight="false" outlineLevel="0" collapsed="false">
      <c r="B268" s="29" t="s">
        <v>97</v>
      </c>
      <c r="D268" s="30" t="n">
        <f aca="false">D260+D267</f>
        <v>-196.4783448</v>
      </c>
      <c r="E268" s="30" t="n">
        <f aca="false">E260+E267</f>
        <v>-2.835015</v>
      </c>
      <c r="F268" s="30" t="n">
        <f aca="false">F260+F267</f>
        <v>-1.798957092</v>
      </c>
      <c r="G268" s="30" t="n">
        <f aca="false">G260+G267</f>
        <v>-0.707736250712403</v>
      </c>
      <c r="H268" s="30" t="n">
        <f aca="false">H260+H267</f>
        <v>0.440941008713558</v>
      </c>
      <c r="I268" s="30" t="n">
        <f aca="false">I260+I267</f>
        <v>1.64945453938962</v>
      </c>
      <c r="J268" s="30" t="n">
        <f aca="false">J260+J267</f>
        <v>2.92027365067816</v>
      </c>
      <c r="K268" s="30" t="n">
        <f aca="false">K260+K267</f>
        <v>66.2387699799457</v>
      </c>
      <c r="L268" s="30" t="n">
        <f aca="false">L260+L267</f>
        <v>1.29892960725784</v>
      </c>
      <c r="M268" s="30" t="n">
        <f aca="false">M260+M267</f>
        <v>2.77242447130721</v>
      </c>
      <c r="N268" s="30" t="n">
        <f aca="false">N260+N267</f>
        <v>368.752995452347</v>
      </c>
    </row>
    <row r="269" customFormat="false" ht="15" hidden="false" customHeight="false" outlineLevel="0" collapsed="false">
      <c r="B269" s="9" t="s">
        <v>98</v>
      </c>
      <c r="C269" s="28" t="n">
        <f aca="false">-D268</f>
        <v>196.4783448</v>
      </c>
    </row>
    <row r="270" customFormat="false" ht="15" hidden="false" customHeight="false" outlineLevel="0" collapsed="false">
      <c r="B270" s="9" t="s">
        <v>99</v>
      </c>
      <c r="C270" s="31" t="n">
        <f aca="false">IRR(D260:N260,0.08)</f>
        <v>0.0814189049874813</v>
      </c>
    </row>
    <row r="271" customFormat="false" ht="15" hidden="false" customHeight="false" outlineLevel="0" collapsed="false">
      <c r="B271" s="29" t="s">
        <v>100</v>
      </c>
      <c r="C271" s="32" t="n">
        <f aca="false">IRR(D268:N268,0.08)</f>
        <v>0.0876047742759758</v>
      </c>
    </row>
    <row r="272" customFormat="false" ht="15" hidden="false" customHeight="false" outlineLevel="0" collapsed="false">
      <c r="B272" s="9" t="s">
        <v>101</v>
      </c>
      <c r="C272" s="22" t="n">
        <f aca="false">SUMIF(D268:N268,"&gt;0")/-SUMIF(D268:N268,"&lt;0")</f>
        <v>2.20034521740821</v>
      </c>
    </row>
    <row r="273" customFormat="false" ht="15" hidden="false" customHeight="false" outlineLevel="0" collapsed="false">
      <c r="B273" s="9" t="s">
        <v>102</v>
      </c>
      <c r="C273" s="33" t="n">
        <f aca="false">Inputs!$C$33/E251</f>
        <v>21.4373027312036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117</v>
      </c>
    </row>
    <row r="3" customFormat="false" ht="15" hidden="false" customHeight="false" outlineLevel="0" collapsed="false">
      <c r="B3" s="6" t="s">
        <v>118</v>
      </c>
    </row>
    <row r="5" customFormat="false" ht="15" hidden="false" customHeight="false" outlineLevel="0" collapsed="false">
      <c r="B5" s="9" t="s">
        <v>119</v>
      </c>
      <c r="C5" s="36" t="n">
        <f aca="false">Inputs!$C$20*12</f>
        <v>13800</v>
      </c>
    </row>
    <row r="6" customFormat="false" ht="15" hidden="false" customHeight="false" outlineLevel="0" collapsed="false">
      <c r="B6" s="29" t="s">
        <v>120</v>
      </c>
      <c r="C6" s="37" t="n">
        <f aca="false">$C$5*Inputs!$C$23</f>
        <v>220800</v>
      </c>
    </row>
    <row r="7" customFormat="false" ht="15" hidden="false" customHeight="false" outlineLevel="0" collapsed="false">
      <c r="B7" s="9" t="s">
        <v>121</v>
      </c>
      <c r="C7" s="31" t="n">
        <f aca="false">(1+Inputs!$C$21)/Inputs!$C$23</f>
        <v>0.064375</v>
      </c>
    </row>
    <row r="9" customFormat="false" ht="15" hidden="false" customHeight="false" outlineLevel="0" collapsed="false">
      <c r="B9" s="7" t="s">
        <v>122</v>
      </c>
      <c r="C9" s="8"/>
      <c r="D9" s="8"/>
      <c r="E9" s="8"/>
      <c r="F9" s="8"/>
      <c r="G9" s="8"/>
      <c r="H9" s="8"/>
      <c r="I9" s="8"/>
      <c r="J9" s="8"/>
      <c r="K9" s="8"/>
      <c r="L9" s="8"/>
      <c r="M9" s="8"/>
      <c r="N9" s="8"/>
    </row>
    <row r="10" customFormat="false" ht="15" hidden="false" customHeight="false" outlineLevel="0" collapsed="false">
      <c r="B10" s="9" t="s">
        <v>123</v>
      </c>
      <c r="C10" s="33" t="n">
        <f aca="false">Inputs!$C$23</f>
        <v>16</v>
      </c>
    </row>
    <row r="11" customFormat="false" ht="15" hidden="false" customHeight="false" outlineLevel="0" collapsed="false">
      <c r="B11" s="23" t="s">
        <v>124</v>
      </c>
      <c r="C11" s="24"/>
      <c r="D11" s="24" t="n">
        <v>0</v>
      </c>
      <c r="E11" s="24" t="n">
        <v>1</v>
      </c>
      <c r="F11" s="24" t="n">
        <v>2</v>
      </c>
      <c r="G11" s="24" t="n">
        <v>3</v>
      </c>
      <c r="H11" s="24" t="n">
        <v>4</v>
      </c>
      <c r="I11" s="24" t="n">
        <v>5</v>
      </c>
      <c r="J11" s="24" t="n">
        <v>6</v>
      </c>
      <c r="K11" s="24" t="n">
        <v>7</v>
      </c>
      <c r="L11" s="24" t="n">
        <v>8</v>
      </c>
      <c r="M11" s="24" t="n">
        <v>9</v>
      </c>
      <c r="N11" s="24" t="n">
        <v>10</v>
      </c>
    </row>
    <row r="12" customFormat="false" ht="15" hidden="false" customHeight="false" outlineLevel="0" collapsed="false">
      <c r="B12" s="29" t="s">
        <v>125</v>
      </c>
      <c r="D12" s="37" t="n">
        <f aca="false">-$C$6</f>
        <v>-220800</v>
      </c>
      <c r="E12" s="37" t="n">
        <f aca="false">$C$5*(1+Inputs!$C$21)^E$11</f>
        <v>14214</v>
      </c>
      <c r="F12" s="37" t="n">
        <f aca="false">$C$5*(1+Inputs!$C$21)^F$11</f>
        <v>14640.42</v>
      </c>
      <c r="G12" s="37" t="n">
        <f aca="false">$C$5*(1+Inputs!$C$21)^G$11</f>
        <v>15079.6326</v>
      </c>
      <c r="H12" s="37" t="n">
        <f aca="false">$C$5*(1+Inputs!$C$21)^H$11</f>
        <v>15532.021578</v>
      </c>
      <c r="I12" s="37" t="n">
        <f aca="false">$C$5*(1+Inputs!$C$21)^I$11</f>
        <v>15997.98222534</v>
      </c>
      <c r="J12" s="37" t="n">
        <f aca="false">$C$5*(1+Inputs!$C$21)^J$11</f>
        <v>16477.9216921002</v>
      </c>
      <c r="K12" s="37" t="n">
        <f aca="false">$C$5*(1+Inputs!$C$21)^K$11</f>
        <v>16972.2593428632</v>
      </c>
      <c r="L12" s="37" t="n">
        <f aca="false">$C$5*(1+Inputs!$C$21)^L$11</f>
        <v>17481.4271231491</v>
      </c>
      <c r="M12" s="37" t="n">
        <f aca="false">$C$5*(1+Inputs!$C$21)^M$11</f>
        <v>18005.8699368436</v>
      </c>
      <c r="N12" s="37" t="n">
        <f aca="false">$C$5*(1+Inputs!$C$21)^N$11*(1+$C$10*(1-Inputs!$C$36))</f>
        <v>310831.731545743</v>
      </c>
    </row>
    <row r="13" customFormat="false" ht="15" hidden="false" customHeight="false" outlineLevel="0" collapsed="false">
      <c r="B13" s="29" t="s">
        <v>126</v>
      </c>
      <c r="C13" s="32" t="n">
        <f aca="false">IRR(D12:N12,0.08)</f>
        <v>0.0932103563919319</v>
      </c>
    </row>
    <row r="15" customFormat="false" ht="15" hidden="false" customHeight="false" outlineLevel="0" collapsed="false">
      <c r="B15" s="7" t="s">
        <v>127</v>
      </c>
      <c r="C15" s="8"/>
      <c r="D15" s="8"/>
      <c r="E15" s="8"/>
      <c r="F15" s="8"/>
      <c r="G15" s="8"/>
      <c r="H15" s="8"/>
      <c r="I15" s="8"/>
      <c r="J15" s="8"/>
      <c r="K15" s="8"/>
      <c r="L15" s="8"/>
      <c r="M15" s="8"/>
      <c r="N15" s="8"/>
    </row>
    <row r="16" customFormat="false" ht="15" hidden="false" customHeight="false" outlineLevel="0" collapsed="false">
      <c r="B16" s="9" t="s">
        <v>123</v>
      </c>
      <c r="C16" s="33" t="n">
        <f aca="false">Inputs!$C$35</f>
        <v>21</v>
      </c>
    </row>
    <row r="17" customFormat="false" ht="15" hidden="false" customHeight="false" outlineLevel="0" collapsed="false">
      <c r="B17" s="23" t="s">
        <v>124</v>
      </c>
      <c r="C17" s="24"/>
      <c r="D17" s="24" t="n">
        <v>0</v>
      </c>
      <c r="E17" s="24" t="n">
        <v>1</v>
      </c>
      <c r="F17" s="24" t="n">
        <v>2</v>
      </c>
      <c r="G17" s="24" t="n">
        <v>3</v>
      </c>
      <c r="H17" s="24" t="n">
        <v>4</v>
      </c>
      <c r="I17" s="24" t="n">
        <v>5</v>
      </c>
      <c r="J17" s="24" t="n">
        <v>6</v>
      </c>
      <c r="K17" s="24" t="n">
        <v>7</v>
      </c>
      <c r="L17" s="24" t="n">
        <v>8</v>
      </c>
      <c r="M17" s="24" t="n">
        <v>9</v>
      </c>
      <c r="N17" s="24" t="n">
        <v>10</v>
      </c>
    </row>
    <row r="18" customFormat="false" ht="15" hidden="false" customHeight="false" outlineLevel="0" collapsed="false">
      <c r="B18" s="29" t="s">
        <v>125</v>
      </c>
      <c r="D18" s="37" t="n">
        <f aca="false">-$C$6</f>
        <v>-220800</v>
      </c>
      <c r="E18" s="37" t="n">
        <f aca="false">$C$5*(1+Inputs!$C$21)^E$17</f>
        <v>14214</v>
      </c>
      <c r="F18" s="37" t="n">
        <f aca="false">$C$5*(1+Inputs!$C$21)^F$17</f>
        <v>14640.42</v>
      </c>
      <c r="G18" s="37" t="n">
        <f aca="false">$C$5*(1+Inputs!$C$21)^G$17</f>
        <v>15079.6326</v>
      </c>
      <c r="H18" s="37" t="n">
        <f aca="false">$C$5*(1+Inputs!$C$21)^H$17</f>
        <v>15532.021578</v>
      </c>
      <c r="I18" s="37" t="n">
        <f aca="false">$C$5*(1+Inputs!$C$21)^I$17</f>
        <v>15997.98222534</v>
      </c>
      <c r="J18" s="37" t="n">
        <f aca="false">$C$5*(1+Inputs!$C$21)^J$17</f>
        <v>16477.9216921002</v>
      </c>
      <c r="K18" s="37" t="n">
        <f aca="false">$C$5*(1+Inputs!$C$21)^K$17</f>
        <v>16972.2593428632</v>
      </c>
      <c r="L18" s="37" t="n">
        <f aca="false">$C$5*(1+Inputs!$C$21)^L$17</f>
        <v>17481.4271231491</v>
      </c>
      <c r="M18" s="37" t="n">
        <f aca="false">$C$5*(1+Inputs!$C$21)^M$17</f>
        <v>18005.8699368436</v>
      </c>
      <c r="N18" s="37" t="n">
        <f aca="false">$C$5*(1+Inputs!$C$21)^N$17*(1+$C$16*(1-Inputs!$C$36))</f>
        <v>402171.008267867</v>
      </c>
    </row>
    <row r="19" customFormat="false" ht="15" hidden="false" customHeight="false" outlineLevel="0" collapsed="false">
      <c r="B19" s="29" t="s">
        <v>126</v>
      </c>
      <c r="C19" s="32" t="n">
        <f aca="false">IRR(D18:N18,0.08)</f>
        <v>0.114950541361719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1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128</v>
      </c>
    </row>
    <row r="3" customFormat="false" ht="15" hidden="false" customHeight="false" outlineLevel="0" collapsed="false">
      <c r="B3" s="6" t="s">
        <v>129</v>
      </c>
    </row>
    <row r="5" customFormat="false" ht="15" hidden="false" customHeight="false" outlineLevel="0" collapsed="false">
      <c r="B5" s="7" t="s">
        <v>130</v>
      </c>
      <c r="C5" s="8"/>
      <c r="D5" s="8"/>
      <c r="E5" s="8"/>
      <c r="F5" s="8"/>
      <c r="G5" s="8"/>
      <c r="H5" s="8"/>
      <c r="I5" s="8"/>
      <c r="J5" s="8"/>
      <c r="K5" s="8"/>
      <c r="L5" s="8"/>
      <c r="M5" s="8"/>
      <c r="N5" s="8"/>
    </row>
    <row r="6" customFormat="false" ht="15" hidden="false" customHeight="false" outlineLevel="0" collapsed="false">
      <c r="B6" s="29" t="s">
        <v>131</v>
      </c>
      <c r="C6" s="38" t="n">
        <v>0.0295660691159682</v>
      </c>
      <c r="D6" s="6" t="s">
        <v>132</v>
      </c>
    </row>
    <row r="7" customFormat="false" ht="15" hidden="false" customHeight="false" outlineLevel="0" collapsed="false">
      <c r="B7" s="9" t="s">
        <v>23</v>
      </c>
      <c r="C7" s="20" t="n">
        <f aca="false">$C$6</f>
        <v>0.0295660691159682</v>
      </c>
    </row>
    <row r="8" customFormat="false" ht="15" hidden="false" customHeight="false" outlineLevel="0" collapsed="false">
      <c r="B8" s="9" t="s">
        <v>34</v>
      </c>
      <c r="C8" s="21" t="n">
        <f aca="false">Inputs!$C$22</f>
        <v>40</v>
      </c>
    </row>
    <row r="9" customFormat="false" ht="15" hidden="false" customHeight="false" outlineLevel="0" collapsed="false">
      <c r="B9" s="9" t="s">
        <v>63</v>
      </c>
      <c r="C9" s="21" t="n">
        <f aca="false">Inputs!$C$15</f>
        <v>0</v>
      </c>
    </row>
    <row r="10" customFormat="false" ht="15" hidden="false" customHeight="false" outlineLevel="0" collapsed="false">
      <c r="B10" s="9" t="s">
        <v>64</v>
      </c>
      <c r="C10" s="22" t="n">
        <f aca="false">Inputs!$C$35</f>
        <v>21</v>
      </c>
    </row>
    <row r="11" customFormat="false" ht="15" hidden="false" customHeight="false" outlineLevel="0" collapsed="false">
      <c r="B11" s="23" t="s">
        <v>65</v>
      </c>
      <c r="C11" s="24"/>
      <c r="D11" s="24" t="n">
        <v>0</v>
      </c>
      <c r="E11" s="24" t="n">
        <v>1</v>
      </c>
      <c r="F11" s="24" t="n">
        <v>2</v>
      </c>
      <c r="G11" s="24" t="n">
        <v>3</v>
      </c>
      <c r="H11" s="24" t="n">
        <v>4</v>
      </c>
      <c r="I11" s="24" t="n">
        <v>5</v>
      </c>
      <c r="J11" s="24" t="n">
        <v>6</v>
      </c>
      <c r="K11" s="24" t="n">
        <v>7</v>
      </c>
      <c r="L11" s="24" t="n">
        <v>8</v>
      </c>
      <c r="M11" s="24" t="n">
        <v>9</v>
      </c>
      <c r="N11" s="24" t="n">
        <v>10</v>
      </c>
    </row>
    <row r="12" customFormat="false" ht="15" hidden="false" customHeight="false" outlineLevel="0" collapsed="false">
      <c r="B12" s="9" t="s">
        <v>66</v>
      </c>
      <c r="E12" s="25" t="n">
        <f aca="false">Inputs!$C$6*$C$7</f>
        <v>25.131158748573</v>
      </c>
      <c r="F12" s="25" t="n">
        <f aca="false">Inputs!$C$6*$C$7</f>
        <v>25.131158748573</v>
      </c>
      <c r="G12" s="25" t="n">
        <f aca="false">Inputs!$C$6*$C$7</f>
        <v>25.131158748573</v>
      </c>
      <c r="H12" s="25" t="n">
        <f aca="false">Inputs!$C$6*$C$7</f>
        <v>25.131158748573</v>
      </c>
      <c r="I12" s="25" t="n">
        <f aca="false">Inputs!$C$6*$C$7</f>
        <v>25.131158748573</v>
      </c>
      <c r="J12" s="25" t="n">
        <f aca="false">Inputs!$C$6*$C$7</f>
        <v>25.131158748573</v>
      </c>
      <c r="K12" s="25" t="n">
        <f aca="false">Inputs!$C$6*$C$7</f>
        <v>25.131158748573</v>
      </c>
      <c r="L12" s="25" t="n">
        <f aca="false">Inputs!$C$6*$C$7</f>
        <v>25.131158748573</v>
      </c>
      <c r="M12" s="25" t="n">
        <f aca="false">Inputs!$C$6*$C$7</f>
        <v>25.131158748573</v>
      </c>
      <c r="N12" s="25" t="n">
        <f aca="false">Inputs!$C$6*$C$7</f>
        <v>25.131158748573</v>
      </c>
    </row>
    <row r="13" customFormat="false" ht="15" hidden="false" customHeight="false" outlineLevel="0" collapsed="false">
      <c r="B13" s="9" t="s">
        <v>67</v>
      </c>
      <c r="E13" s="26" t="n">
        <f aca="false">D15*Inputs!$C$13</f>
        <v>3.82</v>
      </c>
      <c r="F13" s="26" t="n">
        <f aca="false">E15*Inputs!$C$13</f>
        <v>4.03311158748573</v>
      </c>
      <c r="G13" s="26" t="n">
        <f aca="false">F15*Inputs!$C$13</f>
        <v>4.2440920590966</v>
      </c>
      <c r="H13" s="26" t="n">
        <f aca="false">G15*Inputs!$C$13</f>
        <v>4.45296272599137</v>
      </c>
      <c r="I13" s="26" t="n">
        <f aca="false">H15*Inputs!$C$13</f>
        <v>4.65974468621718</v>
      </c>
      <c r="J13" s="26" t="n">
        <f aca="false">I15*Inputs!$C$13</f>
        <v>4.86445882684074</v>
      </c>
      <c r="K13" s="26" t="n">
        <f aca="false">J15*Inputs!$C$13</f>
        <v>5.06712582605806</v>
      </c>
      <c r="L13" s="26" t="n">
        <f aca="false">K15*Inputs!$C$13</f>
        <v>5.26776615528321</v>
      </c>
      <c r="M13" s="26" t="n">
        <f aca="false">L15*Inputs!$C$13</f>
        <v>5.46640008121611</v>
      </c>
      <c r="N13" s="26" t="n">
        <f aca="false">M15*Inputs!$C$13</f>
        <v>5.66304766788968</v>
      </c>
    </row>
    <row r="14" customFormat="false" ht="15" hidden="false" customHeight="false" outlineLevel="0" collapsed="false">
      <c r="B14" s="9" t="s">
        <v>68</v>
      </c>
      <c r="E14" s="25" t="n">
        <f aca="false">IF(AND($C$9&gt;0,OR(E$11=Inputs!$C$14,E$11=Inputs!$C$14+1)),$C$9/2,0)</f>
        <v>0</v>
      </c>
      <c r="F14" s="25" t="n">
        <f aca="false">IF(AND($C$9&gt;0,OR(F$11=Inputs!$C$14,F$11=Inputs!$C$14+1)),$C$9/2,0)</f>
        <v>0</v>
      </c>
      <c r="G14" s="25" t="n">
        <f aca="false">IF(AND($C$9&gt;0,OR(G$11=Inputs!$C$14,G$11=Inputs!$C$14+1)),$C$9/2,0)</f>
        <v>0</v>
      </c>
      <c r="H14" s="25" t="n">
        <f aca="false">IF(AND($C$9&gt;0,OR(H$11=Inputs!$C$14,H$11=Inputs!$C$14+1)),$C$9/2,0)</f>
        <v>0</v>
      </c>
      <c r="I14" s="25" t="n">
        <f aca="false">IF(AND($C$9&gt;0,OR(I$11=Inputs!$C$14,I$11=Inputs!$C$14+1)),$C$9/2,0)</f>
        <v>0</v>
      </c>
      <c r="J14" s="25" t="n">
        <f aca="false">IF(AND($C$9&gt;0,OR(J$11=Inputs!$C$14,J$11=Inputs!$C$14+1)),$C$9/2,0)</f>
        <v>0</v>
      </c>
      <c r="K14" s="25" t="n">
        <f aca="false">IF(AND($C$9&gt;0,OR(K$11=Inputs!$C$14,K$11=Inputs!$C$14+1)),$C$9/2,0)</f>
        <v>0</v>
      </c>
      <c r="L14" s="25" t="n">
        <f aca="false">IF(AND($C$9&gt;0,OR(L$11=Inputs!$C$14,L$11=Inputs!$C$14+1)),$C$9/2,0)</f>
        <v>0</v>
      </c>
      <c r="M14" s="25" t="n">
        <f aca="false">IF(AND($C$9&gt;0,OR(M$11=Inputs!$C$14,M$11=Inputs!$C$14+1)),$C$9/2,0)</f>
        <v>0</v>
      </c>
      <c r="N14" s="25" t="n">
        <f aca="false">IF(AND($C$9&gt;0,OR(N$11=Inputs!$C$14,N$11=Inputs!$C$14+1)),$C$9/2,0)</f>
        <v>0</v>
      </c>
    </row>
    <row r="15" customFormat="false" ht="15" hidden="false" customHeight="false" outlineLevel="0" collapsed="false">
      <c r="B15" s="9" t="s">
        <v>69</v>
      </c>
      <c r="D15" s="25" t="n">
        <f aca="false">Inputs!$C$7</f>
        <v>382</v>
      </c>
      <c r="E15" s="25" t="n">
        <f aca="false">D15+E12-E13-E14</f>
        <v>403.311158748573</v>
      </c>
      <c r="F15" s="25" t="n">
        <f aca="false">E15+F12-F13-F14</f>
        <v>424.40920590966</v>
      </c>
      <c r="G15" s="25" t="n">
        <f aca="false">F15+G12-G13-G14</f>
        <v>445.296272599137</v>
      </c>
      <c r="H15" s="25" t="n">
        <f aca="false">G15+H12-H13-H14</f>
        <v>465.974468621718</v>
      </c>
      <c r="I15" s="25" t="n">
        <f aca="false">H15+I12-I13-I14</f>
        <v>486.445882684074</v>
      </c>
      <c r="J15" s="25" t="n">
        <f aca="false">I15+J12-J13-J14</f>
        <v>506.712582605806</v>
      </c>
      <c r="K15" s="25" t="n">
        <f aca="false">J15+K12-K13-K14</f>
        <v>526.776615528321</v>
      </c>
      <c r="L15" s="25" t="n">
        <f aca="false">K15+L12-L13-L14</f>
        <v>546.640008121611</v>
      </c>
      <c r="M15" s="25" t="n">
        <f aca="false">L15+M12-M13-M14</f>
        <v>566.304766788968</v>
      </c>
      <c r="N15" s="25" t="n">
        <f aca="false">M15+N12-N13-N14</f>
        <v>585.772877869652</v>
      </c>
    </row>
    <row r="16" customFormat="false" ht="15" hidden="false" customHeight="false" outlineLevel="0" collapsed="false">
      <c r="B16" s="9" t="s">
        <v>70</v>
      </c>
      <c r="E16" s="25" t="n">
        <f aca="false">(E15+D15)/2</f>
        <v>392.655579374287</v>
      </c>
      <c r="F16" s="25" t="n">
        <f aca="false">(F15+E15)/2</f>
        <v>413.860182329117</v>
      </c>
      <c r="G16" s="25" t="n">
        <f aca="false">(G15+F15)/2</f>
        <v>434.852739254398</v>
      </c>
      <c r="H16" s="25" t="n">
        <f aca="false">(H15+G15)/2</f>
        <v>455.635370610427</v>
      </c>
      <c r="I16" s="25" t="n">
        <f aca="false">(I15+H15)/2</f>
        <v>476.210175652896</v>
      </c>
      <c r="J16" s="25" t="n">
        <f aca="false">(J15+I15)/2</f>
        <v>496.57923264494</v>
      </c>
      <c r="K16" s="25" t="n">
        <f aca="false">(K15+J15)/2</f>
        <v>516.744599067064</v>
      </c>
      <c r="L16" s="25" t="n">
        <f aca="false">(L15+K15)/2</f>
        <v>536.708311824966</v>
      </c>
      <c r="M16" s="25" t="n">
        <f aca="false">(M15+L15)/2</f>
        <v>556.47238745529</v>
      </c>
      <c r="N16" s="25" t="n">
        <f aca="false">(N15+M15)/2</f>
        <v>576.03882232931</v>
      </c>
    </row>
    <row r="17" customFormat="false" ht="15" hidden="false" customHeight="false" outlineLevel="0" collapsed="false">
      <c r="B17" s="9" t="s">
        <v>71</v>
      </c>
      <c r="D17" s="26" t="n">
        <f aca="false">(Inputs!$C$6+D15)/Inputs!$C$6</f>
        <v>1.44941176470588</v>
      </c>
      <c r="E17" s="26" t="n">
        <f aca="false">(Inputs!$C$6+E15)/Inputs!$C$6</f>
        <v>1.47448371617479</v>
      </c>
      <c r="F17" s="26" t="n">
        <f aca="false">(Inputs!$C$6+F15)/Inputs!$C$6</f>
        <v>1.49930494812901</v>
      </c>
      <c r="G17" s="26" t="n">
        <f aca="false">(Inputs!$C$6+G15)/Inputs!$C$6</f>
        <v>1.52387796776369</v>
      </c>
      <c r="H17" s="26" t="n">
        <f aca="false">(Inputs!$C$6+H15)/Inputs!$C$6</f>
        <v>1.54820525720202</v>
      </c>
      <c r="I17" s="26" t="n">
        <f aca="false">(Inputs!$C$6+I15)/Inputs!$C$6</f>
        <v>1.57228927374597</v>
      </c>
      <c r="J17" s="26" t="n">
        <f aca="false">(Inputs!$C$6+J15)/Inputs!$C$6</f>
        <v>1.59613245012448</v>
      </c>
      <c r="K17" s="26" t="n">
        <f aca="false">(Inputs!$C$6+K15)/Inputs!$C$6</f>
        <v>1.6197371947392</v>
      </c>
      <c r="L17" s="26" t="n">
        <f aca="false">(Inputs!$C$6+L15)/Inputs!$C$6</f>
        <v>1.64310589190778</v>
      </c>
      <c r="M17" s="26" t="n">
        <f aca="false">(Inputs!$C$6+M15)/Inputs!$C$6</f>
        <v>1.66624090210467</v>
      </c>
      <c r="N17" s="26" t="n">
        <f aca="false">(Inputs!$C$6+N15)/Inputs!$C$6</f>
        <v>1.68914456219959</v>
      </c>
    </row>
    <row r="18" customFormat="false" ht="15" hidden="false" customHeight="false" outlineLevel="0" collapsed="false">
      <c r="B18" s="9" t="s">
        <v>72</v>
      </c>
      <c r="D18" s="27" t="n">
        <f aca="false">ROUND(Inputs!$C$6*Inputs!$C$19,0)</f>
        <v>595</v>
      </c>
      <c r="E18" s="27" t="n">
        <f aca="false">MAX(0,D18-$C$8)</f>
        <v>555</v>
      </c>
      <c r="F18" s="27" t="n">
        <f aca="false">MAX(0,E18-$C$8)</f>
        <v>515</v>
      </c>
      <c r="G18" s="27" t="n">
        <f aca="false">MAX(0,F18-$C$8)</f>
        <v>475</v>
      </c>
      <c r="H18" s="27" t="n">
        <f aca="false">MAX(0,G18-$C$8)</f>
        <v>435</v>
      </c>
      <c r="I18" s="27" t="n">
        <f aca="false">MAX(0,H18-$C$8)</f>
        <v>395</v>
      </c>
      <c r="J18" s="27" t="n">
        <f aca="false">MAX(0,I18-$C$8)</f>
        <v>355</v>
      </c>
      <c r="K18" s="27" t="n">
        <f aca="false">MAX(0,J18-$C$8)</f>
        <v>315</v>
      </c>
      <c r="L18" s="27" t="n">
        <f aca="false">MAX(0,K18-$C$8)</f>
        <v>275</v>
      </c>
      <c r="M18" s="27" t="n">
        <f aca="false">MAX(0,L18-$C$8)</f>
        <v>235</v>
      </c>
      <c r="N18" s="27" t="n">
        <f aca="false">MAX(0,M18-$C$8)</f>
        <v>195</v>
      </c>
    </row>
    <row r="19" customFormat="false" ht="15" hidden="false" customHeight="false" outlineLevel="0" collapsed="false">
      <c r="B19" s="9" t="s">
        <v>73</v>
      </c>
      <c r="E19" s="25" t="n">
        <f aca="false">(E18+D18)/2</f>
        <v>575</v>
      </c>
      <c r="F19" s="25" t="n">
        <f aca="false">(F18+E18)/2</f>
        <v>535</v>
      </c>
      <c r="G19" s="25" t="n">
        <f aca="false">(G18+F18)/2</f>
        <v>495</v>
      </c>
      <c r="H19" s="25" t="n">
        <f aca="false">(H18+G18)/2</f>
        <v>455</v>
      </c>
      <c r="I19" s="25" t="n">
        <f aca="false">(I18+H18)/2</f>
        <v>415</v>
      </c>
      <c r="J19" s="25" t="n">
        <f aca="false">(J18+I18)/2</f>
        <v>375</v>
      </c>
      <c r="K19" s="25" t="n">
        <f aca="false">(K18+J18)/2</f>
        <v>335</v>
      </c>
      <c r="L19" s="25" t="n">
        <f aca="false">(L18+K18)/2</f>
        <v>295</v>
      </c>
      <c r="M19" s="25" t="n">
        <f aca="false">(M18+L18)/2</f>
        <v>255</v>
      </c>
      <c r="N19" s="25" t="n">
        <f aca="false">(N18+M18)/2</f>
        <v>215</v>
      </c>
    </row>
    <row r="20" customFormat="false" ht="15" hidden="false" customHeight="false" outlineLevel="0" collapsed="false">
      <c r="B20" s="9" t="s">
        <v>74</v>
      </c>
      <c r="E20" s="28" t="n">
        <f aca="false">Inputs!$C$6*Inputs!$C$8*12*(1+Inputs!$C$9)^(E$11-1)/1000000</f>
        <v>20.91</v>
      </c>
      <c r="F20" s="28" t="n">
        <f aca="false">Inputs!$C$6*Inputs!$C$8*12*(1+Inputs!$C$9)^(F$11-1)/1000000</f>
        <v>21.43275</v>
      </c>
      <c r="G20" s="28" t="n">
        <f aca="false">Inputs!$C$6*Inputs!$C$8*12*(1+Inputs!$C$9)^(G$11-1)/1000000</f>
        <v>21.96856875</v>
      </c>
      <c r="H20" s="28" t="n">
        <f aca="false">Inputs!$C$6*Inputs!$C$8*12*(1+Inputs!$C$9)^(H$11-1)/1000000</f>
        <v>22.51778296875</v>
      </c>
      <c r="I20" s="28" t="n">
        <f aca="false">Inputs!$C$6*Inputs!$C$8*12*(1+Inputs!$C$9)^(I$11-1)/1000000</f>
        <v>23.0807275429687</v>
      </c>
      <c r="J20" s="28" t="n">
        <f aca="false">Inputs!$C$6*Inputs!$C$8*12*(1+Inputs!$C$9)^(J$11-1)/1000000</f>
        <v>23.657745731543</v>
      </c>
      <c r="K20" s="28" t="n">
        <f aca="false">Inputs!$C$6*Inputs!$C$8*12*(1+Inputs!$C$9)^(K$11-1)/1000000</f>
        <v>24.2491893748315</v>
      </c>
      <c r="L20" s="28" t="n">
        <f aca="false">Inputs!$C$6*Inputs!$C$8*12*(1+Inputs!$C$9)^(L$11-1)/1000000</f>
        <v>24.8554191092023</v>
      </c>
      <c r="M20" s="28" t="n">
        <f aca="false">Inputs!$C$6*Inputs!$C$8*12*(1+Inputs!$C$9)^(M$11-1)/1000000</f>
        <v>25.4768045869324</v>
      </c>
      <c r="N20" s="28" t="n">
        <f aca="false">Inputs!$C$6*Inputs!$C$8*12*(1+Inputs!$C$9)^(N$11-1)/1000000</f>
        <v>26.1137247016057</v>
      </c>
    </row>
    <row r="21" customFormat="false" ht="15" hidden="false" customHeight="false" outlineLevel="0" collapsed="false">
      <c r="B21" s="9" t="s">
        <v>75</v>
      </c>
      <c r="E21" s="28" t="n">
        <f aca="false">E16*Inputs!$C$10*12*(1+Inputs!$C$11)^(E$11-1)/1000000</f>
        <v>8.24576716686002</v>
      </c>
      <c r="F21" s="28" t="n">
        <f aca="false">F16*Inputs!$C$10*12*(1+Inputs!$C$11)^(F$11-1)/1000000</f>
        <v>8.95179574377879</v>
      </c>
      <c r="G21" s="28" t="n">
        <f aca="false">G16*Inputs!$C$10*12*(1+Inputs!$C$11)^(G$11-1)/1000000</f>
        <v>9.68804069257482</v>
      </c>
      <c r="H21" s="28" t="n">
        <f aca="false">H16*Inputs!$C$10*12*(1+Inputs!$C$11)^(H$11-1)/1000000</f>
        <v>10.4555865040414</v>
      </c>
      <c r="I21" s="28" t="n">
        <f aca="false">I16*Inputs!$C$10*12*(1+Inputs!$C$11)^(I$11-1)/1000000</f>
        <v>11.2555537102886</v>
      </c>
      <c r="J21" s="28" t="n">
        <f aca="false">J16*Inputs!$C$10*12*(1+Inputs!$C$11)^(J$11-1)/1000000</f>
        <v>12.0891000350624</v>
      </c>
      <c r="K21" s="28" t="n">
        <f aca="false">K16*Inputs!$C$10*12*(1+Inputs!$C$11)^(K$11-1)/1000000</f>
        <v>12.9574215799347</v>
      </c>
      <c r="L21" s="28" t="n">
        <f aca="false">L16*Inputs!$C$10*12*(1+Inputs!$C$11)^(L$11-1)/1000000</f>
        <v>13.8617540474664</v>
      </c>
      <c r="M21" s="28" t="n">
        <f aca="false">M16*Inputs!$C$10*12*(1+Inputs!$C$11)^(M$11-1)/1000000</f>
        <v>14.8033740024807</v>
      </c>
      <c r="N21" s="28" t="n">
        <f aca="false">N16*Inputs!$C$10*12*(1+Inputs!$C$11)^(N$11-1)/1000000</f>
        <v>15.7836001726171</v>
      </c>
    </row>
    <row r="22" customFormat="false" ht="15" hidden="false" customHeight="false" outlineLevel="0" collapsed="false">
      <c r="B22" s="9" t="s">
        <v>76</v>
      </c>
      <c r="E22" s="28" t="n">
        <f aca="false">E20+E21</f>
        <v>29.15576716686</v>
      </c>
      <c r="F22" s="28" t="n">
        <f aca="false">F20+F21</f>
        <v>30.3845457437788</v>
      </c>
      <c r="G22" s="28" t="n">
        <f aca="false">G20+G21</f>
        <v>31.6566094425748</v>
      </c>
      <c r="H22" s="28" t="n">
        <f aca="false">H20+H21</f>
        <v>32.9733694727914</v>
      </c>
      <c r="I22" s="28" t="n">
        <f aca="false">I20+I21</f>
        <v>34.3362812532574</v>
      </c>
      <c r="J22" s="28" t="n">
        <f aca="false">J20+J21</f>
        <v>35.7468457666054</v>
      </c>
      <c r="K22" s="28" t="n">
        <f aca="false">K20+K21</f>
        <v>37.2066109547662</v>
      </c>
      <c r="L22" s="28" t="n">
        <f aca="false">L20+L21</f>
        <v>38.7171731566687</v>
      </c>
      <c r="M22" s="28" t="n">
        <f aca="false">M20+M21</f>
        <v>40.280178589413</v>
      </c>
      <c r="N22" s="28" t="n">
        <f aca="false">N20+N21</f>
        <v>41.8973248742228</v>
      </c>
    </row>
    <row r="23" customFormat="false" ht="15" hidden="false" customHeight="false" outlineLevel="0" collapsed="false">
      <c r="B23" s="9" t="s">
        <v>77</v>
      </c>
      <c r="E23" s="28" t="n">
        <f aca="false">Inputs!$C$20*12*(1+Inputs!$C$21)^(E$11-1)</f>
        <v>13800</v>
      </c>
      <c r="F23" s="28" t="n">
        <f aca="false">Inputs!$C$20*12*(1+Inputs!$C$21)^(F$11-1)</f>
        <v>14214</v>
      </c>
      <c r="G23" s="28" t="n">
        <f aca="false">Inputs!$C$20*12*(1+Inputs!$C$21)^(G$11-1)</f>
        <v>14640.42</v>
      </c>
      <c r="H23" s="28" t="n">
        <f aca="false">Inputs!$C$20*12*(1+Inputs!$C$21)^(H$11-1)</f>
        <v>15079.6326</v>
      </c>
      <c r="I23" s="28" t="n">
        <f aca="false">Inputs!$C$20*12*(1+Inputs!$C$21)^(I$11-1)</f>
        <v>15532.021578</v>
      </c>
      <c r="J23" s="28" t="n">
        <f aca="false">Inputs!$C$20*12*(1+Inputs!$C$21)^(J$11-1)</f>
        <v>15997.98222534</v>
      </c>
      <c r="K23" s="28" t="n">
        <f aca="false">Inputs!$C$20*12*(1+Inputs!$C$21)^(K$11-1)</f>
        <v>16477.9216921002</v>
      </c>
      <c r="L23" s="28" t="n">
        <f aca="false">Inputs!$C$20*12*(1+Inputs!$C$21)^(L$11-1)</f>
        <v>16972.2593428632</v>
      </c>
      <c r="M23" s="28" t="n">
        <f aca="false">Inputs!$C$20*12*(1+Inputs!$C$21)^(M$11-1)</f>
        <v>17481.4271231491</v>
      </c>
      <c r="N23" s="28" t="n">
        <f aca="false">Inputs!$C$20*12*(1+Inputs!$C$21)^(N$11-1)</f>
        <v>18005.8699368436</v>
      </c>
    </row>
    <row r="24" customFormat="false" ht="15" hidden="false" customHeight="false" outlineLevel="0" collapsed="false">
      <c r="B24" s="9" t="s">
        <v>78</v>
      </c>
      <c r="E24" s="28" t="n">
        <f aca="false">E19*E23/1000000</f>
        <v>7.935</v>
      </c>
      <c r="F24" s="28" t="n">
        <f aca="false">F19*F23/1000000</f>
        <v>7.60449</v>
      </c>
      <c r="G24" s="28" t="n">
        <f aca="false">G19*G23/1000000</f>
        <v>7.2470079</v>
      </c>
      <c r="H24" s="28" t="n">
        <f aca="false">H19*H23/1000000</f>
        <v>6.861232833</v>
      </c>
      <c r="I24" s="28" t="n">
        <f aca="false">I19*I23/1000000</f>
        <v>6.44578895487</v>
      </c>
      <c r="J24" s="28" t="n">
        <f aca="false">J19*J23/1000000</f>
        <v>5.9992433345025</v>
      </c>
      <c r="K24" s="28" t="n">
        <f aca="false">K19*K23/1000000</f>
        <v>5.52010376685357</v>
      </c>
      <c r="L24" s="28" t="n">
        <f aca="false">L19*L23/1000000</f>
        <v>5.00681650614465</v>
      </c>
      <c r="M24" s="28" t="n">
        <f aca="false">M19*M23/1000000</f>
        <v>4.45776391640302</v>
      </c>
      <c r="N24" s="28" t="n">
        <f aca="false">N19*N23/1000000</f>
        <v>3.87126203642137</v>
      </c>
    </row>
    <row r="25" customFormat="false" ht="15" hidden="false" customHeight="false" outlineLevel="0" collapsed="false">
      <c r="B25" s="9" t="s">
        <v>79</v>
      </c>
      <c r="E25" s="28" t="n">
        <f aca="false">Inputs!$C$6*Inputs!$C$24*12*(1+Inputs!$C$25)^(E$11-1)/1000000</f>
        <v>3.57</v>
      </c>
      <c r="F25" s="28" t="n">
        <f aca="false">Inputs!$C$6*Inputs!$C$24*12*(1+Inputs!$C$25)^(F$11-1)/1000000</f>
        <v>3.65925</v>
      </c>
      <c r="G25" s="28" t="n">
        <f aca="false">Inputs!$C$6*Inputs!$C$24*12*(1+Inputs!$C$25)^(G$11-1)/1000000</f>
        <v>3.75073125</v>
      </c>
      <c r="H25" s="28" t="n">
        <f aca="false">Inputs!$C$6*Inputs!$C$24*12*(1+Inputs!$C$25)^(H$11-1)/1000000</f>
        <v>3.84449953125</v>
      </c>
      <c r="I25" s="28" t="n">
        <f aca="false">Inputs!$C$6*Inputs!$C$24*12*(1+Inputs!$C$25)^(I$11-1)/1000000</f>
        <v>3.94061201953125</v>
      </c>
      <c r="J25" s="28" t="n">
        <f aca="false">Inputs!$C$6*Inputs!$C$24*12*(1+Inputs!$C$25)^(J$11-1)/1000000</f>
        <v>4.03912732001953</v>
      </c>
      <c r="K25" s="28" t="n">
        <f aca="false">Inputs!$C$6*Inputs!$C$24*12*(1+Inputs!$C$25)^(K$11-1)/1000000</f>
        <v>4.14010550302002</v>
      </c>
      <c r="L25" s="28" t="n">
        <f aca="false">Inputs!$C$6*Inputs!$C$24*12*(1+Inputs!$C$25)^(L$11-1)/1000000</f>
        <v>4.24360814059552</v>
      </c>
      <c r="M25" s="28" t="n">
        <f aca="false">Inputs!$C$6*Inputs!$C$24*12*(1+Inputs!$C$25)^(M$11-1)/1000000</f>
        <v>4.34969834411041</v>
      </c>
      <c r="N25" s="28" t="n">
        <f aca="false">Inputs!$C$6*Inputs!$C$24*12*(1+Inputs!$C$25)^(N$11-1)/1000000</f>
        <v>4.45844080271317</v>
      </c>
    </row>
    <row r="26" customFormat="false" ht="15" hidden="false" customHeight="false" outlineLevel="0" collapsed="false">
      <c r="B26" s="9" t="s">
        <v>80</v>
      </c>
      <c r="E26" s="28" t="n">
        <f aca="false">Inputs!$C$26*(1+Inputs!$C$27)^(E$11-1)</f>
        <v>4.5</v>
      </c>
      <c r="F26" s="28" t="n">
        <f aca="false">Inputs!$C$26*(1+Inputs!$C$27)^(F$11-1)</f>
        <v>4.635</v>
      </c>
      <c r="G26" s="28" t="n">
        <f aca="false">Inputs!$C$26*(1+Inputs!$C$27)^(G$11-1)</f>
        <v>4.77405</v>
      </c>
      <c r="H26" s="28" t="n">
        <f aca="false">Inputs!$C$26*(1+Inputs!$C$27)^(H$11-1)</f>
        <v>4.9172715</v>
      </c>
      <c r="I26" s="28" t="n">
        <f aca="false">Inputs!$C$26*(1+Inputs!$C$27)^(I$11-1)</f>
        <v>5.064789645</v>
      </c>
      <c r="J26" s="28" t="n">
        <f aca="false">Inputs!$C$26*(1+Inputs!$C$27)^(J$11-1)</f>
        <v>5.21673333435</v>
      </c>
      <c r="K26" s="28" t="n">
        <f aca="false">Inputs!$C$26*(1+Inputs!$C$27)^(K$11-1)</f>
        <v>5.3732353343805</v>
      </c>
      <c r="L26" s="28" t="n">
        <f aca="false">Inputs!$C$26*(1+Inputs!$C$27)^(L$11-1)</f>
        <v>5.53443239441192</v>
      </c>
      <c r="M26" s="28" t="n">
        <f aca="false">Inputs!$C$26*(1+Inputs!$C$27)^(M$11-1)</f>
        <v>5.70046536624427</v>
      </c>
      <c r="N26" s="28" t="n">
        <f aca="false">Inputs!$C$26*(1+Inputs!$C$27)^(N$11-1)</f>
        <v>5.8714793272316</v>
      </c>
    </row>
    <row r="27" customFormat="false" ht="15" hidden="false" customHeight="false" outlineLevel="0" collapsed="false">
      <c r="B27" s="29" t="s">
        <v>81</v>
      </c>
      <c r="E27" s="30" t="n">
        <f aca="false">E22-E24-E25-E26</f>
        <v>13.15076716686</v>
      </c>
      <c r="F27" s="30" t="n">
        <f aca="false">F22-F24-F25-F26</f>
        <v>14.4858057437788</v>
      </c>
      <c r="G27" s="30" t="n">
        <f aca="false">G22-G24-G25-G26</f>
        <v>15.8848202925748</v>
      </c>
      <c r="H27" s="30" t="n">
        <f aca="false">H22-H24-H25-H26</f>
        <v>17.3503656085414</v>
      </c>
      <c r="I27" s="30" t="n">
        <f aca="false">I22-I24-I25-I26</f>
        <v>18.8850906338561</v>
      </c>
      <c r="J27" s="30" t="n">
        <f aca="false">J22-J24-J25-J26</f>
        <v>20.4917417777333</v>
      </c>
      <c r="K27" s="30" t="n">
        <f aca="false">K22-K24-K25-K26</f>
        <v>22.1731663505121</v>
      </c>
      <c r="L27" s="30" t="n">
        <f aca="false">L22-L24-L25-L26</f>
        <v>23.9323161155166</v>
      </c>
      <c r="M27" s="30" t="n">
        <f aca="false">M22-M24-M25-M26</f>
        <v>25.7722509626553</v>
      </c>
      <c r="N27" s="30" t="n">
        <f aca="false">N22-N24-N25-N26</f>
        <v>27.6961427078567</v>
      </c>
    </row>
    <row r="28" customFormat="false" ht="15" hidden="false" customHeight="false" outlineLevel="0" collapsed="false">
      <c r="B28" s="9" t="s">
        <v>82</v>
      </c>
      <c r="E28" s="28" t="n">
        <f aca="false">Inputs!$C$6*Inputs!$C$28*(1+Inputs!$C$29)^(E$11-1)/1000000</f>
        <v>1.02</v>
      </c>
      <c r="F28" s="28" t="n">
        <f aca="false">Inputs!$C$6*Inputs!$C$28*(1+Inputs!$C$29)^(F$11-1)/1000000</f>
        <v>1.0506</v>
      </c>
      <c r="G28" s="28" t="n">
        <f aca="false">Inputs!$C$6*Inputs!$C$28*(1+Inputs!$C$29)^(G$11-1)/1000000</f>
        <v>1.082118</v>
      </c>
      <c r="H28" s="28" t="n">
        <f aca="false">Inputs!$C$6*Inputs!$C$28*(1+Inputs!$C$29)^(H$11-1)/1000000</f>
        <v>1.11458154</v>
      </c>
      <c r="I28" s="28" t="n">
        <f aca="false">Inputs!$C$6*Inputs!$C$28*(1+Inputs!$C$29)^(I$11-1)/1000000</f>
        <v>1.1480189862</v>
      </c>
      <c r="J28" s="28" t="n">
        <f aca="false">Inputs!$C$6*Inputs!$C$28*(1+Inputs!$C$29)^(J$11-1)/1000000</f>
        <v>1.182459555786</v>
      </c>
      <c r="K28" s="28" t="n">
        <f aca="false">Inputs!$C$6*Inputs!$C$28*(1+Inputs!$C$29)^(K$11-1)/1000000</f>
        <v>1.21793334245958</v>
      </c>
      <c r="L28" s="28" t="n">
        <f aca="false">Inputs!$C$6*Inputs!$C$28*(1+Inputs!$C$29)^(L$11-1)/1000000</f>
        <v>1.25447134273337</v>
      </c>
      <c r="M28" s="28" t="n">
        <f aca="false">Inputs!$C$6*Inputs!$C$28*(1+Inputs!$C$29)^(M$11-1)/1000000</f>
        <v>1.29210548301537</v>
      </c>
      <c r="N28" s="28" t="n">
        <f aca="false">Inputs!$C$6*Inputs!$C$28*(1+Inputs!$C$29)^(N$11-1)/1000000</f>
        <v>1.33086864750583</v>
      </c>
    </row>
    <row r="29" customFormat="false" ht="15" hidden="false" customHeight="false" outlineLevel="0" collapsed="false">
      <c r="B29" s="9" t="s">
        <v>83</v>
      </c>
      <c r="E29" s="28" t="n">
        <f aca="false">E12*Inputs!$C$30*(1+Inputs!$C$29)^(E$11-1)/1000000</f>
        <v>0.376967381228595</v>
      </c>
      <c r="F29" s="28" t="n">
        <f aca="false">F12*Inputs!$C$30*(1+Inputs!$C$29)^(F$11-1)/1000000</f>
        <v>0.388276402665453</v>
      </c>
      <c r="G29" s="28" t="n">
        <f aca="false">G12*Inputs!$C$30*(1+Inputs!$C$29)^(G$11-1)/1000000</f>
        <v>0.399924694745417</v>
      </c>
      <c r="H29" s="28" t="n">
        <f aca="false">H12*Inputs!$C$30*(1+Inputs!$C$29)^(H$11-1)/1000000</f>
        <v>0.411922435587779</v>
      </c>
      <c r="I29" s="28" t="n">
        <f aca="false">I12*Inputs!$C$30*(1+Inputs!$C$29)^(I$11-1)/1000000</f>
        <v>0.424280108655412</v>
      </c>
      <c r="J29" s="28" t="n">
        <f aca="false">J12*Inputs!$C$30*(1+Inputs!$C$29)^(J$11-1)/1000000</f>
        <v>0.437008511915075</v>
      </c>
      <c r="K29" s="28" t="n">
        <f aca="false">K12*Inputs!$C$30*(1+Inputs!$C$29)^(K$11-1)/1000000</f>
        <v>0.450118767272527</v>
      </c>
      <c r="L29" s="28" t="n">
        <f aca="false">L12*Inputs!$C$30*(1+Inputs!$C$29)^(L$11-1)/1000000</f>
        <v>0.463622330290703</v>
      </c>
      <c r="M29" s="28" t="n">
        <f aca="false">M12*Inputs!$C$30*(1+Inputs!$C$29)^(M$11-1)/1000000</f>
        <v>0.477531000199424</v>
      </c>
      <c r="N29" s="28" t="n">
        <f aca="false">N12*Inputs!$C$30*(1+Inputs!$C$29)^(N$11-1)/1000000</f>
        <v>0.491856930205407</v>
      </c>
    </row>
    <row r="30" customFormat="false" ht="15" hidden="false" customHeight="false" outlineLevel="0" collapsed="false">
      <c r="B30" s="9" t="s">
        <v>84</v>
      </c>
      <c r="E30" s="28" t="n">
        <f aca="false">(D18-E18)*E23*Inputs!$C$23/1000000</f>
        <v>8.832</v>
      </c>
      <c r="F30" s="28" t="n">
        <f aca="false">(E18-F18)*F23*Inputs!$C$23/1000000</f>
        <v>9.09696</v>
      </c>
      <c r="G30" s="28" t="n">
        <f aca="false">(F18-G18)*G23*Inputs!$C$23/1000000</f>
        <v>9.3698688</v>
      </c>
      <c r="H30" s="28" t="n">
        <f aca="false">(G18-H18)*H23*Inputs!$C$23/1000000</f>
        <v>9.650964864</v>
      </c>
      <c r="I30" s="28" t="n">
        <f aca="false">(H18-I18)*I23*Inputs!$C$23/1000000</f>
        <v>9.94049380992</v>
      </c>
      <c r="J30" s="28" t="n">
        <f aca="false">(I18-J18)*J23*Inputs!$C$23/1000000</f>
        <v>10.2387086242176</v>
      </c>
      <c r="K30" s="28" t="n">
        <f aca="false">(J18-K18)*K23*Inputs!$C$23/1000000</f>
        <v>10.5458698829441</v>
      </c>
      <c r="L30" s="28" t="n">
        <f aca="false">(K18-L18)*L23*Inputs!$C$23/1000000</f>
        <v>10.8622459794325</v>
      </c>
      <c r="M30" s="28" t="n">
        <f aca="false">(L18-M18)*M23*Inputs!$C$23/1000000</f>
        <v>11.1881133588154</v>
      </c>
      <c r="N30" s="28" t="n">
        <f aca="false">(M18-N18)*N23*Inputs!$C$23/1000000</f>
        <v>11.5237567595799</v>
      </c>
    </row>
    <row r="31" customFormat="false" ht="15" hidden="false" customHeight="false" outlineLevel="0" collapsed="false">
      <c r="B31" s="29" t="s">
        <v>85</v>
      </c>
      <c r="E31" s="30" t="n">
        <f aca="false">E27-E28-E29-E30</f>
        <v>2.92179978563142</v>
      </c>
      <c r="F31" s="30" t="n">
        <f aca="false">F27-F28-F29-F30</f>
        <v>3.94996934111335</v>
      </c>
      <c r="G31" s="30" t="n">
        <f aca="false">G27-G28-G29-G30</f>
        <v>5.0329087978294</v>
      </c>
      <c r="H31" s="30" t="n">
        <f aca="false">H27-H28-H29-H30</f>
        <v>6.17289676895364</v>
      </c>
      <c r="I31" s="30" t="n">
        <f aca="false">I27-I28-I29-I30</f>
        <v>7.37229772908071</v>
      </c>
      <c r="J31" s="30" t="n">
        <f aca="false">J27-J28-J29-J30</f>
        <v>8.63356508581467</v>
      </c>
      <c r="K31" s="30" t="n">
        <f aca="false">K27-K28-K29-K30</f>
        <v>9.95924435783589</v>
      </c>
      <c r="L31" s="30" t="n">
        <f aca="false">L27-L28-L29-L30</f>
        <v>11.3519764630601</v>
      </c>
      <c r="M31" s="30" t="n">
        <f aca="false">M27-M28-M29-M30</f>
        <v>12.8145011206251</v>
      </c>
      <c r="N31" s="30" t="n">
        <f aca="false">N27-N28-N29-N30</f>
        <v>14.3496603705655</v>
      </c>
    </row>
    <row r="32" customFormat="false" ht="15" hidden="false" customHeight="false" outlineLevel="0" collapsed="false">
      <c r="B32" s="9" t="s">
        <v>86</v>
      </c>
      <c r="C32" s="28" t="n">
        <f aca="false">Inputs!$C$33*(1+Inputs!$C$34)</f>
        <v>287.64</v>
      </c>
    </row>
    <row r="33" customFormat="false" ht="15" hidden="false" customHeight="false" outlineLevel="0" collapsed="false">
      <c r="B33" s="29" t="s">
        <v>87</v>
      </c>
      <c r="C33" s="30" t="n">
        <f aca="false">N27*$C$10*(1-Inputs!$C$36)</f>
        <v>572.894711912015</v>
      </c>
    </row>
    <row r="34" customFormat="false" ht="15" hidden="false" customHeight="false" outlineLevel="0" collapsed="false">
      <c r="B34" s="9" t="s">
        <v>88</v>
      </c>
      <c r="C34" s="28" t="n">
        <f aca="false">Inputs!$C$37*E27</f>
        <v>92.0553701680201</v>
      </c>
    </row>
    <row r="35" customFormat="false" ht="15" hidden="false" customHeight="false" outlineLevel="0" collapsed="false">
      <c r="B35" s="9" t="s">
        <v>89</v>
      </c>
      <c r="C35" s="28" t="n">
        <f aca="false">Inputs!$C$40*INDEX(E27:N27,Inputs!$C$39)</f>
        <v>155.212164453585</v>
      </c>
    </row>
    <row r="36" customFormat="false" ht="15" hidden="false" customHeight="false" outlineLevel="0" collapsed="false">
      <c r="B36" s="29" t="s">
        <v>90</v>
      </c>
      <c r="D36" s="30" t="n">
        <f aca="false">-$C$32</f>
        <v>-287.64</v>
      </c>
      <c r="E36" s="30" t="n">
        <f aca="false">E31</f>
        <v>2.92179978563142</v>
      </c>
      <c r="F36" s="30" t="n">
        <f aca="false">F31</f>
        <v>3.94996934111335</v>
      </c>
      <c r="G36" s="30" t="n">
        <f aca="false">G31</f>
        <v>5.0329087978294</v>
      </c>
      <c r="H36" s="30" t="n">
        <f aca="false">H31</f>
        <v>6.17289676895364</v>
      </c>
      <c r="I36" s="30" t="n">
        <f aca="false">I31</f>
        <v>7.37229772908071</v>
      </c>
      <c r="J36" s="30" t="n">
        <f aca="false">J31</f>
        <v>8.63356508581467</v>
      </c>
      <c r="K36" s="30" t="n">
        <f aca="false">K31</f>
        <v>9.95924435783589</v>
      </c>
      <c r="L36" s="30" t="n">
        <f aca="false">L31</f>
        <v>11.3519764630601</v>
      </c>
      <c r="M36" s="30" t="n">
        <f aca="false">M31</f>
        <v>12.8145011206251</v>
      </c>
      <c r="N36" s="30" t="n">
        <f aca="false">N31+$C$33</f>
        <v>587.244372282581</v>
      </c>
    </row>
    <row r="38" customFormat="false" ht="15" hidden="false" customHeight="false" outlineLevel="0" collapsed="false">
      <c r="B38" s="23" t="s">
        <v>91</v>
      </c>
      <c r="C38" s="24"/>
      <c r="D38" s="24" t="n">
        <v>0</v>
      </c>
      <c r="E38" s="24" t="n">
        <v>1</v>
      </c>
      <c r="F38" s="24" t="n">
        <v>2</v>
      </c>
      <c r="G38" s="24" t="n">
        <v>3</v>
      </c>
      <c r="H38" s="24" t="n">
        <v>4</v>
      </c>
      <c r="I38" s="24" t="n">
        <v>5</v>
      </c>
      <c r="J38" s="24" t="n">
        <v>6</v>
      </c>
      <c r="K38" s="24" t="n">
        <v>7</v>
      </c>
      <c r="L38" s="24" t="n">
        <v>8</v>
      </c>
      <c r="M38" s="24" t="n">
        <v>9</v>
      </c>
      <c r="N38" s="24" t="n">
        <v>10</v>
      </c>
    </row>
    <row r="39" customFormat="false" ht="15" hidden="false" customHeight="false" outlineLevel="0" collapsed="false">
      <c r="B39" s="9" t="s">
        <v>92</v>
      </c>
      <c r="E39" s="28" t="n">
        <f aca="false">IF(E$38&lt;Inputs!$C$39,$C$34,$C$35)</f>
        <v>92.0553701680201</v>
      </c>
      <c r="F39" s="28" t="n">
        <f aca="false">IF(F$38&lt;Inputs!$C$39,$C$34,$C$35)</f>
        <v>92.0553701680201</v>
      </c>
      <c r="G39" s="28" t="n">
        <f aca="false">IF(G$38&lt;Inputs!$C$39,$C$34,$C$35)</f>
        <v>92.0553701680201</v>
      </c>
      <c r="H39" s="28" t="n">
        <f aca="false">IF(H$38&lt;Inputs!$C$39,$C$34,$C$35)</f>
        <v>92.0553701680201</v>
      </c>
      <c r="I39" s="28" t="n">
        <f aca="false">IF(I$38&lt;Inputs!$C$39,$C$34,$C$35)</f>
        <v>92.0553701680201</v>
      </c>
      <c r="J39" s="28" t="n">
        <f aca="false">IF(J$38&lt;Inputs!$C$39,$C$34,$C$35)</f>
        <v>92.0553701680201</v>
      </c>
      <c r="K39" s="28" t="n">
        <f aca="false">IF(K$38&lt;Inputs!$C$39,$C$34,$C$35)</f>
        <v>155.212164453585</v>
      </c>
      <c r="L39" s="28" t="n">
        <f aca="false">IF(L$38&lt;Inputs!$C$39,$C$34,$C$35)</f>
        <v>155.212164453585</v>
      </c>
      <c r="M39" s="28" t="n">
        <f aca="false">IF(M$38&lt;Inputs!$C$39,$C$34,$C$35)</f>
        <v>155.212164453585</v>
      </c>
      <c r="N39" s="28" t="n">
        <f aca="false">IF(N$38&lt;Inputs!$C$39,$C$34,$C$35)</f>
        <v>155.212164453585</v>
      </c>
    </row>
    <row r="40" customFormat="false" ht="15" hidden="false" customHeight="false" outlineLevel="0" collapsed="false">
      <c r="B40" s="9" t="s">
        <v>93</v>
      </c>
      <c r="E40" s="28" t="n">
        <f aca="false">IF(E$38&lt;=Inputs!$C$39,$C$34*Inputs!$C$38,$C$35*Inputs!$C$41)</f>
        <v>5.75346063550126</v>
      </c>
      <c r="F40" s="28" t="n">
        <f aca="false">IF(F$38&lt;=Inputs!$C$39,$C$34*Inputs!$C$38,$C$35*Inputs!$C$41)</f>
        <v>5.75346063550126</v>
      </c>
      <c r="G40" s="28" t="n">
        <f aca="false">IF(G$38&lt;=Inputs!$C$39,$C$34*Inputs!$C$38,$C$35*Inputs!$C$41)</f>
        <v>5.75346063550126</v>
      </c>
      <c r="H40" s="28" t="n">
        <f aca="false">IF(H$38&lt;=Inputs!$C$39,$C$34*Inputs!$C$38,$C$35*Inputs!$C$41)</f>
        <v>5.75346063550126</v>
      </c>
      <c r="I40" s="28" t="n">
        <f aca="false">IF(I$38&lt;=Inputs!$C$39,$C$34*Inputs!$C$38,$C$35*Inputs!$C$41)</f>
        <v>5.75346063550126</v>
      </c>
      <c r="J40" s="28" t="n">
        <f aca="false">IF(J$38&lt;=Inputs!$C$39,$C$34*Inputs!$C$38,$C$35*Inputs!$C$41)</f>
        <v>5.75346063550126</v>
      </c>
      <c r="K40" s="28" t="n">
        <f aca="false">IF(K$38&lt;=Inputs!$C$39,$C$34*Inputs!$C$38,$C$35*Inputs!$C$41)</f>
        <v>5.75346063550126</v>
      </c>
      <c r="L40" s="28" t="n">
        <f aca="false">IF(L$38&lt;=Inputs!$C$39,$C$34*Inputs!$C$38,$C$35*Inputs!$C$41)</f>
        <v>10.088790689483</v>
      </c>
      <c r="M40" s="28" t="n">
        <f aca="false">IF(M$38&lt;=Inputs!$C$39,$C$34*Inputs!$C$38,$C$35*Inputs!$C$41)</f>
        <v>10.088790689483</v>
      </c>
      <c r="N40" s="28" t="n">
        <f aca="false">IF(N$38&lt;=Inputs!$C$39,$C$34*Inputs!$C$38,$C$35*Inputs!$C$41)</f>
        <v>10.088790689483</v>
      </c>
    </row>
    <row r="41" customFormat="false" ht="15" hidden="false" customHeight="false" outlineLevel="0" collapsed="false">
      <c r="B41" s="9" t="s">
        <v>94</v>
      </c>
      <c r="E41" s="26" t="n">
        <f aca="false">E39/E27</f>
        <v>7</v>
      </c>
      <c r="F41" s="26" t="n">
        <f aca="false">F39/F27</f>
        <v>6.35486708825673</v>
      </c>
      <c r="G41" s="26" t="n">
        <f aca="false">G39/G27</f>
        <v>5.79517857127099</v>
      </c>
      <c r="H41" s="26" t="n">
        <f aca="false">H39/H27</f>
        <v>5.30567322009066</v>
      </c>
      <c r="I41" s="26" t="n">
        <f aca="false">I39/I27</f>
        <v>4.8744997814831</v>
      </c>
      <c r="J41" s="26" t="n">
        <f aca="false">J39/J27</f>
        <v>4.4923155467462</v>
      </c>
      <c r="K41" s="26" t="n">
        <f aca="false">K39/K27</f>
        <v>7</v>
      </c>
      <c r="L41" s="26" t="n">
        <f aca="false">L39/L27</f>
        <v>6.48546357587816</v>
      </c>
      <c r="M41" s="26" t="n">
        <f aca="false">M39/M27</f>
        <v>6.02245277987132</v>
      </c>
      <c r="N41" s="26" t="n">
        <f aca="false">N39/N27</f>
        <v>5.60410762216196</v>
      </c>
    </row>
    <row r="42" customFormat="false" ht="15" hidden="false" customHeight="false" outlineLevel="0" collapsed="false">
      <c r="B42" s="9" t="s">
        <v>95</v>
      </c>
      <c r="E42" s="26" t="n">
        <f aca="false">E27/E40</f>
        <v>2.28571428571429</v>
      </c>
      <c r="F42" s="26" t="n">
        <f aca="false">F27/F40</f>
        <v>2.51775525401101</v>
      </c>
      <c r="G42" s="26" t="n">
        <f aca="false">G27/G40</f>
        <v>2.76091578598085</v>
      </c>
      <c r="H42" s="26" t="n">
        <f aca="false">H27/H40</f>
        <v>3.01563992660042</v>
      </c>
      <c r="I42" s="26" t="n">
        <f aca="false">I27/I40</f>
        <v>3.28238808436912</v>
      </c>
      <c r="J42" s="26" t="n">
        <f aca="false">J27/J40</f>
        <v>3.56163760837968</v>
      </c>
      <c r="K42" s="26" t="n">
        <f aca="false">K27/K40</f>
        <v>3.85388338519159</v>
      </c>
      <c r="L42" s="26" t="n">
        <f aca="false">L27/L40</f>
        <v>2.37216895980057</v>
      </c>
      <c r="M42" s="26" t="n">
        <f aca="false">M27/M40</f>
        <v>2.55454313166804</v>
      </c>
      <c r="N42" s="26" t="n">
        <f aca="false">N27/N40</f>
        <v>2.74523910350606</v>
      </c>
    </row>
    <row r="43" customFormat="false" ht="15" hidden="false" customHeight="false" outlineLevel="0" collapsed="false">
      <c r="B43" s="9" t="s">
        <v>96</v>
      </c>
      <c r="D43" s="28" t="n">
        <f aca="false">$C$34*(1-Inputs!$C$42)</f>
        <v>91.1348164663399</v>
      </c>
      <c r="E43" s="28" t="n">
        <f aca="false">-E40+IF(E$38=Inputs!$C$39,$C$35*(1-Inputs!$C$42)-$C$34,0)</f>
        <v>-5.75346063550126</v>
      </c>
      <c r="F43" s="28" t="n">
        <f aca="false">-F40+IF(F$38=Inputs!$C$39,$C$35*(1-Inputs!$C$42)-$C$34,0)</f>
        <v>-5.75346063550126</v>
      </c>
      <c r="G43" s="28" t="n">
        <f aca="false">-G40+IF(G$38=Inputs!$C$39,$C$35*(1-Inputs!$C$42)-$C$34,0)</f>
        <v>-5.75346063550126</v>
      </c>
      <c r="H43" s="28" t="n">
        <f aca="false">-H40+IF(H$38=Inputs!$C$39,$C$35*(1-Inputs!$C$42)-$C$34,0)</f>
        <v>-5.75346063550126</v>
      </c>
      <c r="I43" s="28" t="n">
        <f aca="false">-I40+IF(I$38=Inputs!$C$39,$C$35*(1-Inputs!$C$42)-$C$34,0)</f>
        <v>-5.75346063550126</v>
      </c>
      <c r="J43" s="28" t="n">
        <f aca="false">-J40+IF(J$38=Inputs!$C$39,$C$35*(1-Inputs!$C$42)-$C$34,0)</f>
        <v>-5.75346063550126</v>
      </c>
      <c r="K43" s="28" t="n">
        <f aca="false">-K40+IF(K$38=Inputs!$C$39,$C$35*(1-Inputs!$C$42)-$C$34,0)</f>
        <v>55.8512120055277</v>
      </c>
      <c r="L43" s="28" t="n">
        <f aca="false">-L40+IF(L$38=Inputs!$C$39,$C$35*(1-Inputs!$C$42)-$C$34,0)</f>
        <v>-10.088790689483</v>
      </c>
      <c r="M43" s="28" t="n">
        <f aca="false">-M40+IF(M$38=Inputs!$C$39,$C$35*(1-Inputs!$C$42)-$C$34,0)</f>
        <v>-10.088790689483</v>
      </c>
      <c r="N43" s="28" t="n">
        <f aca="false">-N40+IF(N$38=Inputs!$C$39,$C$35*(1-Inputs!$C$42)-$C$34,0)-$C$35</f>
        <v>-165.300955143068</v>
      </c>
    </row>
    <row r="44" customFormat="false" ht="15" hidden="false" customHeight="false" outlineLevel="0" collapsed="false">
      <c r="B44" s="29" t="s">
        <v>97</v>
      </c>
      <c r="D44" s="30" t="n">
        <f aca="false">D36+D43</f>
        <v>-196.50518353366</v>
      </c>
      <c r="E44" s="30" t="n">
        <f aca="false">E36+E43</f>
        <v>-2.83166084986984</v>
      </c>
      <c r="F44" s="30" t="n">
        <f aca="false">F36+F43</f>
        <v>-1.80349129438791</v>
      </c>
      <c r="G44" s="30" t="n">
        <f aca="false">G36+G43</f>
        <v>-0.720551837671856</v>
      </c>
      <c r="H44" s="30" t="n">
        <f aca="false">H36+H43</f>
        <v>0.419436133452379</v>
      </c>
      <c r="I44" s="30" t="n">
        <f aca="false">I36+I43</f>
        <v>1.61883709357945</v>
      </c>
      <c r="J44" s="30" t="n">
        <f aca="false">J36+J43</f>
        <v>2.88010445031341</v>
      </c>
      <c r="K44" s="30" t="n">
        <f aca="false">K36+K43</f>
        <v>65.8104563633636</v>
      </c>
      <c r="L44" s="30" t="n">
        <f aca="false">L36+L43</f>
        <v>1.26318577357708</v>
      </c>
      <c r="M44" s="30" t="n">
        <f aca="false">M36+M43</f>
        <v>2.72571043114209</v>
      </c>
      <c r="N44" s="30" t="n">
        <f aca="false">N36+N43</f>
        <v>421.943417139513</v>
      </c>
    </row>
    <row r="45" customFormat="false" ht="15" hidden="false" customHeight="false" outlineLevel="0" collapsed="false">
      <c r="B45" s="9" t="s">
        <v>98</v>
      </c>
      <c r="C45" s="28" t="n">
        <f aca="false">-D44</f>
        <v>196.50518353366</v>
      </c>
    </row>
    <row r="46" customFormat="false" ht="15" hidden="false" customHeight="false" outlineLevel="0" collapsed="false">
      <c r="B46" s="9" t="s">
        <v>99</v>
      </c>
      <c r="C46" s="31" t="n">
        <f aca="false">IRR(D36:N36,0.08)</f>
        <v>0.0906728005339357</v>
      </c>
    </row>
    <row r="47" customFormat="false" ht="15" hidden="false" customHeight="false" outlineLevel="0" collapsed="false">
      <c r="B47" s="29" t="s">
        <v>100</v>
      </c>
      <c r="C47" s="32" t="n">
        <f aca="false">IRR(D44:N44,0.08)</f>
        <v>0.1</v>
      </c>
    </row>
    <row r="48" customFormat="false" ht="15" hidden="false" customHeight="false" outlineLevel="0" collapsed="false">
      <c r="B48" s="9" t="s">
        <v>101</v>
      </c>
      <c r="C48" s="22" t="n">
        <f aca="false">SUMIF(D44:N44,"&gt;0")/-SUMIF(D44:N44,"&lt;0")</f>
        <v>2.46041297795534</v>
      </c>
    </row>
    <row r="49" customFormat="false" ht="15" hidden="false" customHeight="false" outlineLevel="0" collapsed="false">
      <c r="B49" s="9" t="s">
        <v>102</v>
      </c>
      <c r="C49" s="33" t="n">
        <f aca="false">Inputs!$C$33/E27</f>
        <v>21.4436159063512</v>
      </c>
    </row>
    <row r="51" customFormat="false" ht="15" hidden="false" customHeight="false" outlineLevel="0" collapsed="false">
      <c r="B51" s="29" t="s">
        <v>133</v>
      </c>
      <c r="C51" s="32" t="n">
        <f aca="false">Inputs!$C$45</f>
        <v>0.1</v>
      </c>
    </row>
    <row r="52" customFormat="false" ht="15" hidden="false" customHeight="false" outlineLevel="0" collapsed="false">
      <c r="B52" s="29" t="s">
        <v>134</v>
      </c>
      <c r="C52" s="32" t="n">
        <f aca="false">$C$47</f>
        <v>0.1</v>
      </c>
    </row>
    <row r="53" customFormat="false" ht="15" hidden="false" customHeight="false" outlineLevel="0" collapsed="false">
      <c r="B53" s="29" t="s">
        <v>135</v>
      </c>
      <c r="C53" s="39" t="n">
        <f aca="false">C52-C51</f>
        <v>0</v>
      </c>
    </row>
    <row r="54" customFormat="false" ht="15" hidden="false" customHeight="false" outlineLevel="0" collapsed="false">
      <c r="B54" s="29" t="s">
        <v>136</v>
      </c>
      <c r="C54" s="40" t="str">
        <f aca="false">IF(ABS(C53)&lt;=0.000001,"OK","FAIL")</f>
        <v>OK</v>
      </c>
    </row>
    <row r="57" customFormat="false" ht="15" hidden="false" customHeight="false" outlineLevel="0" collapsed="false">
      <c r="B57" s="7" t="s">
        <v>137</v>
      </c>
      <c r="C57" s="8"/>
      <c r="D57" s="8"/>
      <c r="E57" s="8"/>
      <c r="F57" s="8"/>
      <c r="G57" s="8"/>
      <c r="H57" s="8"/>
      <c r="I57" s="8"/>
      <c r="J57" s="8"/>
      <c r="K57" s="8"/>
      <c r="L57" s="8"/>
      <c r="M57" s="8"/>
      <c r="N57" s="8"/>
    </row>
    <row r="58" customFormat="false" ht="15" hidden="false" customHeight="false" outlineLevel="0" collapsed="false">
      <c r="B58" s="29" t="s">
        <v>138</v>
      </c>
      <c r="C58" s="41" t="n">
        <v>20.9101398435659</v>
      </c>
      <c r="D58" s="6" t="s">
        <v>132</v>
      </c>
    </row>
    <row r="59" customFormat="false" ht="15" hidden="false" customHeight="false" outlineLevel="0" collapsed="false">
      <c r="B59" s="9" t="s">
        <v>23</v>
      </c>
      <c r="C59" s="20" t="n">
        <f aca="false">Inputs!$C$12</f>
        <v>0.03</v>
      </c>
    </row>
    <row r="60" customFormat="false" ht="15" hidden="false" customHeight="false" outlineLevel="0" collapsed="false">
      <c r="B60" s="9" t="s">
        <v>34</v>
      </c>
      <c r="C60" s="21" t="n">
        <f aca="false">Inputs!$C$22</f>
        <v>40</v>
      </c>
    </row>
    <row r="61" customFormat="false" ht="15" hidden="false" customHeight="false" outlineLevel="0" collapsed="false">
      <c r="B61" s="9" t="s">
        <v>63</v>
      </c>
      <c r="C61" s="21" t="n">
        <f aca="false">Inputs!$C$15</f>
        <v>0</v>
      </c>
    </row>
    <row r="62" customFormat="false" ht="15" hidden="false" customHeight="false" outlineLevel="0" collapsed="false">
      <c r="B62" s="9" t="s">
        <v>64</v>
      </c>
      <c r="C62" s="22" t="n">
        <f aca="false">$C$58</f>
        <v>20.9101398435659</v>
      </c>
    </row>
    <row r="63" customFormat="false" ht="15" hidden="false" customHeight="false" outlineLevel="0" collapsed="false">
      <c r="B63" s="23" t="s">
        <v>65</v>
      </c>
      <c r="C63" s="24"/>
      <c r="D63" s="24" t="n">
        <v>0</v>
      </c>
      <c r="E63" s="24" t="n">
        <v>1</v>
      </c>
      <c r="F63" s="24" t="n">
        <v>2</v>
      </c>
      <c r="G63" s="24" t="n">
        <v>3</v>
      </c>
      <c r="H63" s="24" t="n">
        <v>4</v>
      </c>
      <c r="I63" s="24" t="n">
        <v>5</v>
      </c>
      <c r="J63" s="24" t="n">
        <v>6</v>
      </c>
      <c r="K63" s="24" t="n">
        <v>7</v>
      </c>
      <c r="L63" s="24" t="n">
        <v>8</v>
      </c>
      <c r="M63" s="24" t="n">
        <v>9</v>
      </c>
      <c r="N63" s="24" t="n">
        <v>10</v>
      </c>
    </row>
    <row r="64" customFormat="false" ht="15" hidden="false" customHeight="false" outlineLevel="0" collapsed="false">
      <c r="B64" s="9" t="s">
        <v>66</v>
      </c>
      <c r="E64" s="25" t="n">
        <f aca="false">Inputs!$C$6*$C$59</f>
        <v>25.5</v>
      </c>
      <c r="F64" s="25" t="n">
        <f aca="false">Inputs!$C$6*$C$59</f>
        <v>25.5</v>
      </c>
      <c r="G64" s="25" t="n">
        <f aca="false">Inputs!$C$6*$C$59</f>
        <v>25.5</v>
      </c>
      <c r="H64" s="25" t="n">
        <f aca="false">Inputs!$C$6*$C$59</f>
        <v>25.5</v>
      </c>
      <c r="I64" s="25" t="n">
        <f aca="false">Inputs!$C$6*$C$59</f>
        <v>25.5</v>
      </c>
      <c r="J64" s="25" t="n">
        <f aca="false">Inputs!$C$6*$C$59</f>
        <v>25.5</v>
      </c>
      <c r="K64" s="25" t="n">
        <f aca="false">Inputs!$C$6*$C$59</f>
        <v>25.5</v>
      </c>
      <c r="L64" s="25" t="n">
        <f aca="false">Inputs!$C$6*$C$59</f>
        <v>25.5</v>
      </c>
      <c r="M64" s="25" t="n">
        <f aca="false">Inputs!$C$6*$C$59</f>
        <v>25.5</v>
      </c>
      <c r="N64" s="25" t="n">
        <f aca="false">Inputs!$C$6*$C$59</f>
        <v>25.5</v>
      </c>
    </row>
    <row r="65" customFormat="false" ht="15" hidden="false" customHeight="false" outlineLevel="0" collapsed="false">
      <c r="B65" s="9" t="s">
        <v>67</v>
      </c>
      <c r="E65" s="26" t="n">
        <f aca="false">D67*Inputs!$C$13</f>
        <v>3.82</v>
      </c>
      <c r="F65" s="26" t="n">
        <f aca="false">E67*Inputs!$C$13</f>
        <v>4.0368</v>
      </c>
      <c r="G65" s="26" t="n">
        <f aca="false">F67*Inputs!$C$13</f>
        <v>4.251432</v>
      </c>
      <c r="H65" s="26" t="n">
        <f aca="false">G67*Inputs!$C$13</f>
        <v>4.46391768</v>
      </c>
      <c r="I65" s="26" t="n">
        <f aca="false">H67*Inputs!$C$13</f>
        <v>4.6742785032</v>
      </c>
      <c r="J65" s="26" t="n">
        <f aca="false">I67*Inputs!$C$13</f>
        <v>4.882535718168</v>
      </c>
      <c r="K65" s="26" t="n">
        <f aca="false">J67*Inputs!$C$13</f>
        <v>5.08871036098632</v>
      </c>
      <c r="L65" s="26" t="n">
        <f aca="false">K67*Inputs!$C$13</f>
        <v>5.29282325737646</v>
      </c>
      <c r="M65" s="26" t="n">
        <f aca="false">L67*Inputs!$C$13</f>
        <v>5.49489502480269</v>
      </c>
      <c r="N65" s="26" t="n">
        <f aca="false">M67*Inputs!$C$13</f>
        <v>5.69494607455467</v>
      </c>
    </row>
    <row r="66" customFormat="false" ht="15" hidden="false" customHeight="false" outlineLevel="0" collapsed="false">
      <c r="B66" s="9" t="s">
        <v>68</v>
      </c>
      <c r="E66" s="25" t="n">
        <f aca="false">IF(AND($C$61&gt;0,OR(E$63=Inputs!$C$14,E$63=Inputs!$C$14+1)),$C$61/2,0)</f>
        <v>0</v>
      </c>
      <c r="F66" s="25" t="n">
        <f aca="false">IF(AND($C$61&gt;0,OR(F$63=Inputs!$C$14,F$63=Inputs!$C$14+1)),$C$61/2,0)</f>
        <v>0</v>
      </c>
      <c r="G66" s="25" t="n">
        <f aca="false">IF(AND($C$61&gt;0,OR(G$63=Inputs!$C$14,G$63=Inputs!$C$14+1)),$C$61/2,0)</f>
        <v>0</v>
      </c>
      <c r="H66" s="25" t="n">
        <f aca="false">IF(AND($C$61&gt;0,OR(H$63=Inputs!$C$14,H$63=Inputs!$C$14+1)),$C$61/2,0)</f>
        <v>0</v>
      </c>
      <c r="I66" s="25" t="n">
        <f aca="false">IF(AND($C$61&gt;0,OR(I$63=Inputs!$C$14,I$63=Inputs!$C$14+1)),$C$61/2,0)</f>
        <v>0</v>
      </c>
      <c r="J66" s="25" t="n">
        <f aca="false">IF(AND($C$61&gt;0,OR(J$63=Inputs!$C$14,J$63=Inputs!$C$14+1)),$C$61/2,0)</f>
        <v>0</v>
      </c>
      <c r="K66" s="25" t="n">
        <f aca="false">IF(AND($C$61&gt;0,OR(K$63=Inputs!$C$14,K$63=Inputs!$C$14+1)),$C$61/2,0)</f>
        <v>0</v>
      </c>
      <c r="L66" s="25" t="n">
        <f aca="false">IF(AND($C$61&gt;0,OR(L$63=Inputs!$C$14,L$63=Inputs!$C$14+1)),$C$61/2,0)</f>
        <v>0</v>
      </c>
      <c r="M66" s="25" t="n">
        <f aca="false">IF(AND($C$61&gt;0,OR(M$63=Inputs!$C$14,M$63=Inputs!$C$14+1)),$C$61/2,0)</f>
        <v>0</v>
      </c>
      <c r="N66" s="25" t="n">
        <f aca="false">IF(AND($C$61&gt;0,OR(N$63=Inputs!$C$14,N$63=Inputs!$C$14+1)),$C$61/2,0)</f>
        <v>0</v>
      </c>
    </row>
    <row r="67" customFormat="false" ht="15" hidden="false" customHeight="false" outlineLevel="0" collapsed="false">
      <c r="B67" s="9" t="s">
        <v>69</v>
      </c>
      <c r="D67" s="25" t="n">
        <f aca="false">Inputs!$C$7</f>
        <v>382</v>
      </c>
      <c r="E67" s="25" t="n">
        <f aca="false">D67+E64-E65-E66</f>
        <v>403.68</v>
      </c>
      <c r="F67" s="25" t="n">
        <f aca="false">E67+F64-F65-F66</f>
        <v>425.1432</v>
      </c>
      <c r="G67" s="25" t="n">
        <f aca="false">F67+G64-G65-G66</f>
        <v>446.391768</v>
      </c>
      <c r="H67" s="25" t="n">
        <f aca="false">G67+H64-H65-H66</f>
        <v>467.42785032</v>
      </c>
      <c r="I67" s="25" t="n">
        <f aca="false">H67+I64-I65-I66</f>
        <v>488.2535718168</v>
      </c>
      <c r="J67" s="25" t="n">
        <f aca="false">I67+J64-J65-J66</f>
        <v>508.871036098632</v>
      </c>
      <c r="K67" s="25" t="n">
        <f aca="false">J67+K64-K65-K66</f>
        <v>529.282325737646</v>
      </c>
      <c r="L67" s="25" t="n">
        <f aca="false">K67+L64-L65-L66</f>
        <v>549.489502480269</v>
      </c>
      <c r="M67" s="25" t="n">
        <f aca="false">L67+M64-M65-M66</f>
        <v>569.494607455467</v>
      </c>
      <c r="N67" s="25" t="n">
        <f aca="false">M67+N64-N65-N66</f>
        <v>589.299661380912</v>
      </c>
    </row>
    <row r="68" customFormat="false" ht="15" hidden="false" customHeight="false" outlineLevel="0" collapsed="false">
      <c r="B68" s="9" t="s">
        <v>70</v>
      </c>
      <c r="E68" s="25" t="n">
        <f aca="false">(E67+D67)/2</f>
        <v>392.84</v>
      </c>
      <c r="F68" s="25" t="n">
        <f aca="false">(F67+E67)/2</f>
        <v>414.4116</v>
      </c>
      <c r="G68" s="25" t="n">
        <f aca="false">(G67+F67)/2</f>
        <v>435.767484</v>
      </c>
      <c r="H68" s="25" t="n">
        <f aca="false">(H67+G67)/2</f>
        <v>456.90980916</v>
      </c>
      <c r="I68" s="25" t="n">
        <f aca="false">(I67+H67)/2</f>
        <v>477.8407110684</v>
      </c>
      <c r="J68" s="25" t="n">
        <f aca="false">(J67+I67)/2</f>
        <v>498.562303957716</v>
      </c>
      <c r="K68" s="25" t="n">
        <f aca="false">(K67+J67)/2</f>
        <v>519.076680918139</v>
      </c>
      <c r="L68" s="25" t="n">
        <f aca="false">(L67+K67)/2</f>
        <v>539.385914108957</v>
      </c>
      <c r="M68" s="25" t="n">
        <f aca="false">(M67+L67)/2</f>
        <v>559.492054967868</v>
      </c>
      <c r="N68" s="25" t="n">
        <f aca="false">(N67+M67)/2</f>
        <v>579.397134418189</v>
      </c>
    </row>
    <row r="69" customFormat="false" ht="15" hidden="false" customHeight="false" outlineLevel="0" collapsed="false">
      <c r="B69" s="9" t="s">
        <v>71</v>
      </c>
      <c r="D69" s="26" t="n">
        <f aca="false">(Inputs!$C$6+D67)/Inputs!$C$6</f>
        <v>1.44941176470588</v>
      </c>
      <c r="E69" s="26" t="n">
        <f aca="false">(Inputs!$C$6+E67)/Inputs!$C$6</f>
        <v>1.47491764705882</v>
      </c>
      <c r="F69" s="26" t="n">
        <f aca="false">(Inputs!$C$6+F67)/Inputs!$C$6</f>
        <v>1.50016847058824</v>
      </c>
      <c r="G69" s="26" t="n">
        <f aca="false">(Inputs!$C$6+G67)/Inputs!$C$6</f>
        <v>1.52516678588235</v>
      </c>
      <c r="H69" s="26" t="n">
        <f aca="false">(Inputs!$C$6+H67)/Inputs!$C$6</f>
        <v>1.54991511802353</v>
      </c>
      <c r="I69" s="26" t="n">
        <f aca="false">(Inputs!$C$6+I67)/Inputs!$C$6</f>
        <v>1.57441596684329</v>
      </c>
      <c r="J69" s="26" t="n">
        <f aca="false">(Inputs!$C$6+J67)/Inputs!$C$6</f>
        <v>1.59867180717486</v>
      </c>
      <c r="K69" s="26" t="n">
        <f aca="false">(Inputs!$C$6+K67)/Inputs!$C$6</f>
        <v>1.62268508910311</v>
      </c>
      <c r="L69" s="26" t="n">
        <f aca="false">(Inputs!$C$6+L67)/Inputs!$C$6</f>
        <v>1.64645823821208</v>
      </c>
      <c r="M69" s="26" t="n">
        <f aca="false">(Inputs!$C$6+M67)/Inputs!$C$6</f>
        <v>1.66999365582996</v>
      </c>
      <c r="N69" s="26" t="n">
        <f aca="false">(Inputs!$C$6+N67)/Inputs!$C$6</f>
        <v>1.69329371927166</v>
      </c>
    </row>
    <row r="70" customFormat="false" ht="15" hidden="false" customHeight="false" outlineLevel="0" collapsed="false">
      <c r="B70" s="9" t="s">
        <v>72</v>
      </c>
      <c r="D70" s="27" t="n">
        <f aca="false">ROUND(Inputs!$C$6*Inputs!$C$19,0)</f>
        <v>595</v>
      </c>
      <c r="E70" s="27" t="n">
        <f aca="false">MAX(0,D70-$C$60)</f>
        <v>555</v>
      </c>
      <c r="F70" s="27" t="n">
        <f aca="false">MAX(0,E70-$C$60)</f>
        <v>515</v>
      </c>
      <c r="G70" s="27" t="n">
        <f aca="false">MAX(0,F70-$C$60)</f>
        <v>475</v>
      </c>
      <c r="H70" s="27" t="n">
        <f aca="false">MAX(0,G70-$C$60)</f>
        <v>435</v>
      </c>
      <c r="I70" s="27" t="n">
        <f aca="false">MAX(0,H70-$C$60)</f>
        <v>395</v>
      </c>
      <c r="J70" s="27" t="n">
        <f aca="false">MAX(0,I70-$C$60)</f>
        <v>355</v>
      </c>
      <c r="K70" s="27" t="n">
        <f aca="false">MAX(0,J70-$C$60)</f>
        <v>315</v>
      </c>
      <c r="L70" s="27" t="n">
        <f aca="false">MAX(0,K70-$C$60)</f>
        <v>275</v>
      </c>
      <c r="M70" s="27" t="n">
        <f aca="false">MAX(0,L70-$C$60)</f>
        <v>235</v>
      </c>
      <c r="N70" s="27" t="n">
        <f aca="false">MAX(0,M70-$C$60)</f>
        <v>195</v>
      </c>
    </row>
    <row r="71" customFormat="false" ht="15" hidden="false" customHeight="false" outlineLevel="0" collapsed="false">
      <c r="B71" s="9" t="s">
        <v>73</v>
      </c>
      <c r="E71" s="25" t="n">
        <f aca="false">(E70+D70)/2</f>
        <v>575</v>
      </c>
      <c r="F71" s="25" t="n">
        <f aca="false">(F70+E70)/2</f>
        <v>535</v>
      </c>
      <c r="G71" s="25" t="n">
        <f aca="false">(G70+F70)/2</f>
        <v>495</v>
      </c>
      <c r="H71" s="25" t="n">
        <f aca="false">(H70+G70)/2</f>
        <v>455</v>
      </c>
      <c r="I71" s="25" t="n">
        <f aca="false">(I70+H70)/2</f>
        <v>415</v>
      </c>
      <c r="J71" s="25" t="n">
        <f aca="false">(J70+I70)/2</f>
        <v>375</v>
      </c>
      <c r="K71" s="25" t="n">
        <f aca="false">(K70+J70)/2</f>
        <v>335</v>
      </c>
      <c r="L71" s="25" t="n">
        <f aca="false">(L70+K70)/2</f>
        <v>295</v>
      </c>
      <c r="M71" s="25" t="n">
        <f aca="false">(M70+L70)/2</f>
        <v>255</v>
      </c>
      <c r="N71" s="25" t="n">
        <f aca="false">(N70+M70)/2</f>
        <v>215</v>
      </c>
    </row>
    <row r="72" customFormat="false" ht="15" hidden="false" customHeight="false" outlineLevel="0" collapsed="false">
      <c r="B72" s="9" t="s">
        <v>74</v>
      </c>
      <c r="E72" s="28" t="n">
        <f aca="false">Inputs!$C$6*Inputs!$C$8*12*(1+Inputs!$C$9)^(E$63-1)/1000000</f>
        <v>20.91</v>
      </c>
      <c r="F72" s="28" t="n">
        <f aca="false">Inputs!$C$6*Inputs!$C$8*12*(1+Inputs!$C$9)^(F$63-1)/1000000</f>
        <v>21.43275</v>
      </c>
      <c r="G72" s="28" t="n">
        <f aca="false">Inputs!$C$6*Inputs!$C$8*12*(1+Inputs!$C$9)^(G$63-1)/1000000</f>
        <v>21.96856875</v>
      </c>
      <c r="H72" s="28" t="n">
        <f aca="false">Inputs!$C$6*Inputs!$C$8*12*(1+Inputs!$C$9)^(H$63-1)/1000000</f>
        <v>22.51778296875</v>
      </c>
      <c r="I72" s="28" t="n">
        <f aca="false">Inputs!$C$6*Inputs!$C$8*12*(1+Inputs!$C$9)^(I$63-1)/1000000</f>
        <v>23.0807275429687</v>
      </c>
      <c r="J72" s="28" t="n">
        <f aca="false">Inputs!$C$6*Inputs!$C$8*12*(1+Inputs!$C$9)^(J$63-1)/1000000</f>
        <v>23.657745731543</v>
      </c>
      <c r="K72" s="28" t="n">
        <f aca="false">Inputs!$C$6*Inputs!$C$8*12*(1+Inputs!$C$9)^(K$63-1)/1000000</f>
        <v>24.2491893748315</v>
      </c>
      <c r="L72" s="28" t="n">
        <f aca="false">Inputs!$C$6*Inputs!$C$8*12*(1+Inputs!$C$9)^(L$63-1)/1000000</f>
        <v>24.8554191092023</v>
      </c>
      <c r="M72" s="28" t="n">
        <f aca="false">Inputs!$C$6*Inputs!$C$8*12*(1+Inputs!$C$9)^(M$63-1)/1000000</f>
        <v>25.4768045869324</v>
      </c>
      <c r="N72" s="28" t="n">
        <f aca="false">Inputs!$C$6*Inputs!$C$8*12*(1+Inputs!$C$9)^(N$63-1)/1000000</f>
        <v>26.1137247016057</v>
      </c>
    </row>
    <row r="73" customFormat="false" ht="15" hidden="false" customHeight="false" outlineLevel="0" collapsed="false">
      <c r="B73" s="9" t="s">
        <v>75</v>
      </c>
      <c r="E73" s="28" t="n">
        <f aca="false">E68*Inputs!$C$10*12*(1+Inputs!$C$11)^(E$63-1)/1000000</f>
        <v>8.24964</v>
      </c>
      <c r="F73" s="28" t="n">
        <f aca="false">F68*Inputs!$C$10*12*(1+Inputs!$C$11)^(F$63-1)/1000000</f>
        <v>8.963722908</v>
      </c>
      <c r="G73" s="28" t="n">
        <f aca="false">G68*Inputs!$C$10*12*(1+Inputs!$C$11)^(G$63-1)/1000000</f>
        <v>9.7084201992876</v>
      </c>
      <c r="H73" s="28" t="n">
        <f aca="false">H68*Inputs!$C$10*12*(1+Inputs!$C$11)^(H$63-1)/1000000</f>
        <v>10.4848313857136</v>
      </c>
      <c r="I73" s="28" t="n">
        <f aca="false">I68*Inputs!$C$10*12*(1+Inputs!$C$11)^(I$63-1)/1000000</f>
        <v>11.2940925317671</v>
      </c>
      <c r="J73" s="28" t="n">
        <f aca="false">J68*Inputs!$C$10*12*(1+Inputs!$C$11)^(J$63-1)/1000000</f>
        <v>12.1373774214306</v>
      </c>
      <c r="K73" s="28" t="n">
        <f aca="false">K68*Inputs!$C$10*12*(1+Inputs!$C$11)^(K$63-1)/1000000</f>
        <v>13.015898761424</v>
      </c>
      <c r="L73" s="28" t="n">
        <f aca="false">L68*Inputs!$C$10*12*(1+Inputs!$C$11)^(L$63-1)/1000000</f>
        <v>13.9309094219591</v>
      </c>
      <c r="M73" s="28" t="n">
        <f aca="false">M68*Inputs!$C$10*12*(1+Inputs!$C$11)^(M$63-1)/1000000</f>
        <v>14.8837037161548</v>
      </c>
      <c r="N73" s="28" t="n">
        <f aca="false">N68*Inputs!$C$10*12*(1+Inputs!$C$11)^(N$63-1)/1000000</f>
        <v>15.8756187193036</v>
      </c>
    </row>
    <row r="74" customFormat="false" ht="15" hidden="false" customHeight="false" outlineLevel="0" collapsed="false">
      <c r="B74" s="9" t="s">
        <v>76</v>
      </c>
      <c r="E74" s="28" t="n">
        <f aca="false">E72+E73</f>
        <v>29.15964</v>
      </c>
      <c r="F74" s="28" t="n">
        <f aca="false">F72+F73</f>
        <v>30.396472908</v>
      </c>
      <c r="G74" s="28" t="n">
        <f aca="false">G72+G73</f>
        <v>31.6769889492876</v>
      </c>
      <c r="H74" s="28" t="n">
        <f aca="false">H72+H73</f>
        <v>33.0026143544636</v>
      </c>
      <c r="I74" s="28" t="n">
        <f aca="false">I72+I73</f>
        <v>34.3748200747359</v>
      </c>
      <c r="J74" s="28" t="n">
        <f aca="false">J72+J73</f>
        <v>35.7951231529735</v>
      </c>
      <c r="K74" s="28" t="n">
        <f aca="false">K72+K73</f>
        <v>37.2650881362556</v>
      </c>
      <c r="L74" s="28" t="n">
        <f aca="false">L72+L73</f>
        <v>38.7863285311614</v>
      </c>
      <c r="M74" s="28" t="n">
        <f aca="false">M72+M73</f>
        <v>40.3605083030872</v>
      </c>
      <c r="N74" s="28" t="n">
        <f aca="false">N72+N73</f>
        <v>41.9893434209093</v>
      </c>
    </row>
    <row r="75" customFormat="false" ht="15" hidden="false" customHeight="false" outlineLevel="0" collapsed="false">
      <c r="B75" s="9" t="s">
        <v>77</v>
      </c>
      <c r="E75" s="28" t="n">
        <f aca="false">Inputs!$C$20*12*(1+Inputs!$C$21)^(E$63-1)</f>
        <v>13800</v>
      </c>
      <c r="F75" s="28" t="n">
        <f aca="false">Inputs!$C$20*12*(1+Inputs!$C$21)^(F$63-1)</f>
        <v>14214</v>
      </c>
      <c r="G75" s="28" t="n">
        <f aca="false">Inputs!$C$20*12*(1+Inputs!$C$21)^(G$63-1)</f>
        <v>14640.42</v>
      </c>
      <c r="H75" s="28" t="n">
        <f aca="false">Inputs!$C$20*12*(1+Inputs!$C$21)^(H$63-1)</f>
        <v>15079.6326</v>
      </c>
      <c r="I75" s="28" t="n">
        <f aca="false">Inputs!$C$20*12*(1+Inputs!$C$21)^(I$63-1)</f>
        <v>15532.021578</v>
      </c>
      <c r="J75" s="28" t="n">
        <f aca="false">Inputs!$C$20*12*(1+Inputs!$C$21)^(J$63-1)</f>
        <v>15997.98222534</v>
      </c>
      <c r="K75" s="28" t="n">
        <f aca="false">Inputs!$C$20*12*(1+Inputs!$C$21)^(K$63-1)</f>
        <v>16477.9216921002</v>
      </c>
      <c r="L75" s="28" t="n">
        <f aca="false">Inputs!$C$20*12*(1+Inputs!$C$21)^(L$63-1)</f>
        <v>16972.2593428632</v>
      </c>
      <c r="M75" s="28" t="n">
        <f aca="false">Inputs!$C$20*12*(1+Inputs!$C$21)^(M$63-1)</f>
        <v>17481.4271231491</v>
      </c>
      <c r="N75" s="28" t="n">
        <f aca="false">Inputs!$C$20*12*(1+Inputs!$C$21)^(N$63-1)</f>
        <v>18005.8699368436</v>
      </c>
    </row>
    <row r="76" customFormat="false" ht="15" hidden="false" customHeight="false" outlineLevel="0" collapsed="false">
      <c r="B76" s="9" t="s">
        <v>78</v>
      </c>
      <c r="E76" s="28" t="n">
        <f aca="false">E71*E75/1000000</f>
        <v>7.935</v>
      </c>
      <c r="F76" s="28" t="n">
        <f aca="false">F71*F75/1000000</f>
        <v>7.60449</v>
      </c>
      <c r="G76" s="28" t="n">
        <f aca="false">G71*G75/1000000</f>
        <v>7.2470079</v>
      </c>
      <c r="H76" s="28" t="n">
        <f aca="false">H71*H75/1000000</f>
        <v>6.861232833</v>
      </c>
      <c r="I76" s="28" t="n">
        <f aca="false">I71*I75/1000000</f>
        <v>6.44578895487</v>
      </c>
      <c r="J76" s="28" t="n">
        <f aca="false">J71*J75/1000000</f>
        <v>5.9992433345025</v>
      </c>
      <c r="K76" s="28" t="n">
        <f aca="false">K71*K75/1000000</f>
        <v>5.52010376685357</v>
      </c>
      <c r="L76" s="28" t="n">
        <f aca="false">L71*L75/1000000</f>
        <v>5.00681650614465</v>
      </c>
      <c r="M76" s="28" t="n">
        <f aca="false">M71*M75/1000000</f>
        <v>4.45776391640302</v>
      </c>
      <c r="N76" s="28" t="n">
        <f aca="false">N71*N75/1000000</f>
        <v>3.87126203642137</v>
      </c>
    </row>
    <row r="77" customFormat="false" ht="15" hidden="false" customHeight="false" outlineLevel="0" collapsed="false">
      <c r="B77" s="9" t="s">
        <v>79</v>
      </c>
      <c r="E77" s="28" t="n">
        <f aca="false">Inputs!$C$6*Inputs!$C$24*12*(1+Inputs!$C$25)^(E$63-1)/1000000</f>
        <v>3.57</v>
      </c>
      <c r="F77" s="28" t="n">
        <f aca="false">Inputs!$C$6*Inputs!$C$24*12*(1+Inputs!$C$25)^(F$63-1)/1000000</f>
        <v>3.65925</v>
      </c>
      <c r="G77" s="28" t="n">
        <f aca="false">Inputs!$C$6*Inputs!$C$24*12*(1+Inputs!$C$25)^(G$63-1)/1000000</f>
        <v>3.75073125</v>
      </c>
      <c r="H77" s="28" t="n">
        <f aca="false">Inputs!$C$6*Inputs!$C$24*12*(1+Inputs!$C$25)^(H$63-1)/1000000</f>
        <v>3.84449953125</v>
      </c>
      <c r="I77" s="28" t="n">
        <f aca="false">Inputs!$C$6*Inputs!$C$24*12*(1+Inputs!$C$25)^(I$63-1)/1000000</f>
        <v>3.94061201953125</v>
      </c>
      <c r="J77" s="28" t="n">
        <f aca="false">Inputs!$C$6*Inputs!$C$24*12*(1+Inputs!$C$25)^(J$63-1)/1000000</f>
        <v>4.03912732001953</v>
      </c>
      <c r="K77" s="28" t="n">
        <f aca="false">Inputs!$C$6*Inputs!$C$24*12*(1+Inputs!$C$25)^(K$63-1)/1000000</f>
        <v>4.14010550302002</v>
      </c>
      <c r="L77" s="28" t="n">
        <f aca="false">Inputs!$C$6*Inputs!$C$24*12*(1+Inputs!$C$25)^(L$63-1)/1000000</f>
        <v>4.24360814059552</v>
      </c>
      <c r="M77" s="28" t="n">
        <f aca="false">Inputs!$C$6*Inputs!$C$24*12*(1+Inputs!$C$25)^(M$63-1)/1000000</f>
        <v>4.34969834411041</v>
      </c>
      <c r="N77" s="28" t="n">
        <f aca="false">Inputs!$C$6*Inputs!$C$24*12*(1+Inputs!$C$25)^(N$63-1)/1000000</f>
        <v>4.45844080271317</v>
      </c>
    </row>
    <row r="78" customFormat="false" ht="15" hidden="false" customHeight="false" outlineLevel="0" collapsed="false">
      <c r="B78" s="9" t="s">
        <v>80</v>
      </c>
      <c r="E78" s="28" t="n">
        <f aca="false">Inputs!$C$26*(1+Inputs!$C$27)^(E$63-1)</f>
        <v>4.5</v>
      </c>
      <c r="F78" s="28" t="n">
        <f aca="false">Inputs!$C$26*(1+Inputs!$C$27)^(F$63-1)</f>
        <v>4.635</v>
      </c>
      <c r="G78" s="28" t="n">
        <f aca="false">Inputs!$C$26*(1+Inputs!$C$27)^(G$63-1)</f>
        <v>4.77405</v>
      </c>
      <c r="H78" s="28" t="n">
        <f aca="false">Inputs!$C$26*(1+Inputs!$C$27)^(H$63-1)</f>
        <v>4.9172715</v>
      </c>
      <c r="I78" s="28" t="n">
        <f aca="false">Inputs!$C$26*(1+Inputs!$C$27)^(I$63-1)</f>
        <v>5.064789645</v>
      </c>
      <c r="J78" s="28" t="n">
        <f aca="false">Inputs!$C$26*(1+Inputs!$C$27)^(J$63-1)</f>
        <v>5.21673333435</v>
      </c>
      <c r="K78" s="28" t="n">
        <f aca="false">Inputs!$C$26*(1+Inputs!$C$27)^(K$63-1)</f>
        <v>5.3732353343805</v>
      </c>
      <c r="L78" s="28" t="n">
        <f aca="false">Inputs!$C$26*(1+Inputs!$C$27)^(L$63-1)</f>
        <v>5.53443239441192</v>
      </c>
      <c r="M78" s="28" t="n">
        <f aca="false">Inputs!$C$26*(1+Inputs!$C$27)^(M$63-1)</f>
        <v>5.70046536624427</v>
      </c>
      <c r="N78" s="28" t="n">
        <f aca="false">Inputs!$C$26*(1+Inputs!$C$27)^(N$63-1)</f>
        <v>5.8714793272316</v>
      </c>
    </row>
    <row r="79" customFormat="false" ht="15" hidden="false" customHeight="false" outlineLevel="0" collapsed="false">
      <c r="B79" s="29" t="s">
        <v>81</v>
      </c>
      <c r="E79" s="30" t="n">
        <f aca="false">E74-E76-E77-E78</f>
        <v>13.15464</v>
      </c>
      <c r="F79" s="30" t="n">
        <f aca="false">F74-F76-F77-F78</f>
        <v>14.497732908</v>
      </c>
      <c r="G79" s="30" t="n">
        <f aca="false">G74-G76-G77-G78</f>
        <v>15.9051997992876</v>
      </c>
      <c r="H79" s="30" t="n">
        <f aca="false">H74-H76-H77-H78</f>
        <v>17.3796104902136</v>
      </c>
      <c r="I79" s="30" t="n">
        <f aca="false">I74-I76-I77-I78</f>
        <v>18.9236294553346</v>
      </c>
      <c r="J79" s="30" t="n">
        <f aca="false">J74-J76-J77-J78</f>
        <v>20.5400191641015</v>
      </c>
      <c r="K79" s="30" t="n">
        <f aca="false">K74-K76-K77-K78</f>
        <v>22.2316435320015</v>
      </c>
      <c r="L79" s="30" t="n">
        <f aca="false">L74-L76-L77-L78</f>
        <v>24.0014714900094</v>
      </c>
      <c r="M79" s="30" t="n">
        <f aca="false">M74-M76-M77-M78</f>
        <v>25.8525806763295</v>
      </c>
      <c r="N79" s="30" t="n">
        <f aca="false">N74-N76-N77-N78</f>
        <v>27.7881612545431</v>
      </c>
    </row>
    <row r="80" customFormat="false" ht="15" hidden="false" customHeight="false" outlineLevel="0" collapsed="false">
      <c r="B80" s="9" t="s">
        <v>82</v>
      </c>
      <c r="E80" s="28" t="n">
        <f aca="false">Inputs!$C$6*Inputs!$C$28*(1+Inputs!$C$29)^(E$63-1)/1000000</f>
        <v>1.02</v>
      </c>
      <c r="F80" s="28" t="n">
        <f aca="false">Inputs!$C$6*Inputs!$C$28*(1+Inputs!$C$29)^(F$63-1)/1000000</f>
        <v>1.0506</v>
      </c>
      <c r="G80" s="28" t="n">
        <f aca="false">Inputs!$C$6*Inputs!$C$28*(1+Inputs!$C$29)^(G$63-1)/1000000</f>
        <v>1.082118</v>
      </c>
      <c r="H80" s="28" t="n">
        <f aca="false">Inputs!$C$6*Inputs!$C$28*(1+Inputs!$C$29)^(H$63-1)/1000000</f>
        <v>1.11458154</v>
      </c>
      <c r="I80" s="28" t="n">
        <f aca="false">Inputs!$C$6*Inputs!$C$28*(1+Inputs!$C$29)^(I$63-1)/1000000</f>
        <v>1.1480189862</v>
      </c>
      <c r="J80" s="28" t="n">
        <f aca="false">Inputs!$C$6*Inputs!$C$28*(1+Inputs!$C$29)^(J$63-1)/1000000</f>
        <v>1.182459555786</v>
      </c>
      <c r="K80" s="28" t="n">
        <f aca="false">Inputs!$C$6*Inputs!$C$28*(1+Inputs!$C$29)^(K$63-1)/1000000</f>
        <v>1.21793334245958</v>
      </c>
      <c r="L80" s="28" t="n">
        <f aca="false">Inputs!$C$6*Inputs!$C$28*(1+Inputs!$C$29)^(L$63-1)/1000000</f>
        <v>1.25447134273337</v>
      </c>
      <c r="M80" s="28" t="n">
        <f aca="false">Inputs!$C$6*Inputs!$C$28*(1+Inputs!$C$29)^(M$63-1)/1000000</f>
        <v>1.29210548301537</v>
      </c>
      <c r="N80" s="28" t="n">
        <f aca="false">Inputs!$C$6*Inputs!$C$28*(1+Inputs!$C$29)^(N$63-1)/1000000</f>
        <v>1.33086864750583</v>
      </c>
    </row>
    <row r="81" customFormat="false" ht="15" hidden="false" customHeight="false" outlineLevel="0" collapsed="false">
      <c r="B81" s="9" t="s">
        <v>83</v>
      </c>
      <c r="E81" s="28" t="n">
        <f aca="false">E64*Inputs!$C$30*(1+Inputs!$C$29)^(E$63-1)/1000000</f>
        <v>0.3825</v>
      </c>
      <c r="F81" s="28" t="n">
        <f aca="false">F64*Inputs!$C$30*(1+Inputs!$C$29)^(F$63-1)/1000000</f>
        <v>0.393975</v>
      </c>
      <c r="G81" s="28" t="n">
        <f aca="false">G64*Inputs!$C$30*(1+Inputs!$C$29)^(G$63-1)/1000000</f>
        <v>0.40579425</v>
      </c>
      <c r="H81" s="28" t="n">
        <f aca="false">H64*Inputs!$C$30*(1+Inputs!$C$29)^(H$63-1)/1000000</f>
        <v>0.4179680775</v>
      </c>
      <c r="I81" s="28" t="n">
        <f aca="false">I64*Inputs!$C$30*(1+Inputs!$C$29)^(I$63-1)/1000000</f>
        <v>0.430507119825</v>
      </c>
      <c r="J81" s="28" t="n">
        <f aca="false">J64*Inputs!$C$30*(1+Inputs!$C$29)^(J$63-1)/1000000</f>
        <v>0.44342233341975</v>
      </c>
      <c r="K81" s="28" t="n">
        <f aca="false">K64*Inputs!$C$30*(1+Inputs!$C$29)^(K$63-1)/1000000</f>
        <v>0.456725003422343</v>
      </c>
      <c r="L81" s="28" t="n">
        <f aca="false">L64*Inputs!$C$30*(1+Inputs!$C$29)^(L$63-1)/1000000</f>
        <v>0.470426753525013</v>
      </c>
      <c r="M81" s="28" t="n">
        <f aca="false">M64*Inputs!$C$30*(1+Inputs!$C$29)^(M$63-1)/1000000</f>
        <v>0.484539556130763</v>
      </c>
      <c r="N81" s="28" t="n">
        <f aca="false">N64*Inputs!$C$30*(1+Inputs!$C$29)^(N$63-1)/1000000</f>
        <v>0.499075742814686</v>
      </c>
    </row>
    <row r="82" customFormat="false" ht="15" hidden="false" customHeight="false" outlineLevel="0" collapsed="false">
      <c r="B82" s="9" t="s">
        <v>84</v>
      </c>
      <c r="E82" s="28" t="n">
        <f aca="false">(D70-E70)*E75*Inputs!$C$23/1000000</f>
        <v>8.832</v>
      </c>
      <c r="F82" s="28" t="n">
        <f aca="false">(E70-F70)*F75*Inputs!$C$23/1000000</f>
        <v>9.09696</v>
      </c>
      <c r="G82" s="28" t="n">
        <f aca="false">(F70-G70)*G75*Inputs!$C$23/1000000</f>
        <v>9.3698688</v>
      </c>
      <c r="H82" s="28" t="n">
        <f aca="false">(G70-H70)*H75*Inputs!$C$23/1000000</f>
        <v>9.650964864</v>
      </c>
      <c r="I82" s="28" t="n">
        <f aca="false">(H70-I70)*I75*Inputs!$C$23/1000000</f>
        <v>9.94049380992</v>
      </c>
      <c r="J82" s="28" t="n">
        <f aca="false">(I70-J70)*J75*Inputs!$C$23/1000000</f>
        <v>10.2387086242176</v>
      </c>
      <c r="K82" s="28" t="n">
        <f aca="false">(J70-K70)*K75*Inputs!$C$23/1000000</f>
        <v>10.5458698829441</v>
      </c>
      <c r="L82" s="28" t="n">
        <f aca="false">(K70-L70)*L75*Inputs!$C$23/1000000</f>
        <v>10.8622459794325</v>
      </c>
      <c r="M82" s="28" t="n">
        <f aca="false">(L70-M70)*M75*Inputs!$C$23/1000000</f>
        <v>11.1881133588154</v>
      </c>
      <c r="N82" s="28" t="n">
        <f aca="false">(M70-N70)*N75*Inputs!$C$23/1000000</f>
        <v>11.5237567595799</v>
      </c>
    </row>
    <row r="83" customFormat="false" ht="15" hidden="false" customHeight="false" outlineLevel="0" collapsed="false">
      <c r="B83" s="29" t="s">
        <v>85</v>
      </c>
      <c r="E83" s="30" t="n">
        <f aca="false">E79-E80-E81-E82</f>
        <v>2.92014</v>
      </c>
      <c r="F83" s="30" t="n">
        <f aca="false">F79-F80-F81-F82</f>
        <v>3.956197908</v>
      </c>
      <c r="G83" s="30" t="n">
        <f aca="false">G79-G80-G81-G82</f>
        <v>5.0474187492876</v>
      </c>
      <c r="H83" s="30" t="n">
        <f aca="false">H79-H80-H81-H82</f>
        <v>6.19609600871356</v>
      </c>
      <c r="I83" s="30" t="n">
        <f aca="false">I79-I80-I81-I82</f>
        <v>7.40460953938962</v>
      </c>
      <c r="J83" s="30" t="n">
        <f aca="false">J79-J80-J81-J82</f>
        <v>8.67542865067816</v>
      </c>
      <c r="K83" s="30" t="n">
        <f aca="false">K79-K80-K81-K82</f>
        <v>10.0111153031754</v>
      </c>
      <c r="L83" s="30" t="n">
        <f aca="false">L79-L80-L81-L82</f>
        <v>11.4143274143185</v>
      </c>
      <c r="M83" s="30" t="n">
        <f aca="false">M79-M80-M81-M82</f>
        <v>12.8878222783679</v>
      </c>
      <c r="N83" s="30" t="n">
        <f aca="false">N79-N80-N81-N82</f>
        <v>14.4344601046427</v>
      </c>
    </row>
    <row r="84" customFormat="false" ht="15" hidden="false" customHeight="false" outlineLevel="0" collapsed="false">
      <c r="B84" s="9" t="s">
        <v>86</v>
      </c>
      <c r="C84" s="28" t="n">
        <f aca="false">Inputs!$C$33*(1+Inputs!$C$34)</f>
        <v>287.64</v>
      </c>
    </row>
    <row r="85" customFormat="false" ht="15" hidden="false" customHeight="false" outlineLevel="0" collapsed="false">
      <c r="B85" s="29" t="s">
        <v>87</v>
      </c>
      <c r="C85" s="30" t="n">
        <f aca="false">N79*$C$62*(1-Inputs!$C$36)</f>
        <v>572.338522760636</v>
      </c>
    </row>
    <row r="86" customFormat="false" ht="15" hidden="false" customHeight="false" outlineLevel="0" collapsed="false">
      <c r="B86" s="9" t="s">
        <v>88</v>
      </c>
      <c r="C86" s="28" t="n">
        <f aca="false">Inputs!$C$37*E79</f>
        <v>92.08248</v>
      </c>
    </row>
    <row r="87" customFormat="false" ht="15" hidden="false" customHeight="false" outlineLevel="0" collapsed="false">
      <c r="B87" s="9" t="s">
        <v>89</v>
      </c>
      <c r="C87" s="28" t="n">
        <f aca="false">Inputs!$C$40*INDEX(E79:N79,Inputs!$C$39)</f>
        <v>155.62150472401</v>
      </c>
    </row>
    <row r="88" customFormat="false" ht="15" hidden="false" customHeight="false" outlineLevel="0" collapsed="false">
      <c r="B88" s="29" t="s">
        <v>90</v>
      </c>
      <c r="D88" s="30" t="n">
        <f aca="false">-$C$84</f>
        <v>-287.64</v>
      </c>
      <c r="E88" s="30" t="n">
        <f aca="false">E83</f>
        <v>2.92014</v>
      </c>
      <c r="F88" s="30" t="n">
        <f aca="false">F83</f>
        <v>3.956197908</v>
      </c>
      <c r="G88" s="30" t="n">
        <f aca="false">G83</f>
        <v>5.0474187492876</v>
      </c>
      <c r="H88" s="30" t="n">
        <f aca="false">H83</f>
        <v>6.19609600871356</v>
      </c>
      <c r="I88" s="30" t="n">
        <f aca="false">I83</f>
        <v>7.40460953938962</v>
      </c>
      <c r="J88" s="30" t="n">
        <f aca="false">J83</f>
        <v>8.67542865067816</v>
      </c>
      <c r="K88" s="30" t="n">
        <f aca="false">K83</f>
        <v>10.0111153031754</v>
      </c>
      <c r="L88" s="30" t="n">
        <f aca="false">L83</f>
        <v>11.4143274143185</v>
      </c>
      <c r="M88" s="30" t="n">
        <f aca="false">M83</f>
        <v>12.8878222783679</v>
      </c>
      <c r="N88" s="30" t="n">
        <f aca="false">N83+$C$85</f>
        <v>586.772982865279</v>
      </c>
    </row>
    <row r="90" customFormat="false" ht="15" hidden="false" customHeight="false" outlineLevel="0" collapsed="false">
      <c r="B90" s="23" t="s">
        <v>91</v>
      </c>
      <c r="C90" s="24"/>
      <c r="D90" s="24" t="n">
        <v>0</v>
      </c>
      <c r="E90" s="24" t="n">
        <v>1</v>
      </c>
      <c r="F90" s="24" t="n">
        <v>2</v>
      </c>
      <c r="G90" s="24" t="n">
        <v>3</v>
      </c>
      <c r="H90" s="24" t="n">
        <v>4</v>
      </c>
      <c r="I90" s="24" t="n">
        <v>5</v>
      </c>
      <c r="J90" s="24" t="n">
        <v>6</v>
      </c>
      <c r="K90" s="24" t="n">
        <v>7</v>
      </c>
      <c r="L90" s="24" t="n">
        <v>8</v>
      </c>
      <c r="M90" s="24" t="n">
        <v>9</v>
      </c>
      <c r="N90" s="24" t="n">
        <v>10</v>
      </c>
    </row>
    <row r="91" customFormat="false" ht="15" hidden="false" customHeight="false" outlineLevel="0" collapsed="false">
      <c r="B91" s="9" t="s">
        <v>92</v>
      </c>
      <c r="E91" s="28" t="n">
        <f aca="false">IF(E$90&lt;Inputs!$C$39,$C$86,$C$87)</f>
        <v>92.08248</v>
      </c>
      <c r="F91" s="28" t="n">
        <f aca="false">IF(F$90&lt;Inputs!$C$39,$C$86,$C$87)</f>
        <v>92.08248</v>
      </c>
      <c r="G91" s="28" t="n">
        <f aca="false">IF(G$90&lt;Inputs!$C$39,$C$86,$C$87)</f>
        <v>92.08248</v>
      </c>
      <c r="H91" s="28" t="n">
        <f aca="false">IF(H$90&lt;Inputs!$C$39,$C$86,$C$87)</f>
        <v>92.08248</v>
      </c>
      <c r="I91" s="28" t="n">
        <f aca="false">IF(I$90&lt;Inputs!$C$39,$C$86,$C$87)</f>
        <v>92.08248</v>
      </c>
      <c r="J91" s="28" t="n">
        <f aca="false">IF(J$90&lt;Inputs!$C$39,$C$86,$C$87)</f>
        <v>92.08248</v>
      </c>
      <c r="K91" s="28" t="n">
        <f aca="false">IF(K$90&lt;Inputs!$C$39,$C$86,$C$87)</f>
        <v>155.62150472401</v>
      </c>
      <c r="L91" s="28" t="n">
        <f aca="false">IF(L$90&lt;Inputs!$C$39,$C$86,$C$87)</f>
        <v>155.62150472401</v>
      </c>
      <c r="M91" s="28" t="n">
        <f aca="false">IF(M$90&lt;Inputs!$C$39,$C$86,$C$87)</f>
        <v>155.62150472401</v>
      </c>
      <c r="N91" s="28" t="n">
        <f aca="false">IF(N$90&lt;Inputs!$C$39,$C$86,$C$87)</f>
        <v>155.62150472401</v>
      </c>
    </row>
    <row r="92" customFormat="false" ht="15" hidden="false" customHeight="false" outlineLevel="0" collapsed="false">
      <c r="B92" s="9" t="s">
        <v>93</v>
      </c>
      <c r="E92" s="28" t="n">
        <f aca="false">IF(E$90&lt;=Inputs!$C$39,$C$86*Inputs!$C$38,$C$87*Inputs!$C$41)</f>
        <v>5.755155</v>
      </c>
      <c r="F92" s="28" t="n">
        <f aca="false">IF(F$90&lt;=Inputs!$C$39,$C$86*Inputs!$C$38,$C$87*Inputs!$C$41)</f>
        <v>5.755155</v>
      </c>
      <c r="G92" s="28" t="n">
        <f aca="false">IF(G$90&lt;=Inputs!$C$39,$C$86*Inputs!$C$38,$C$87*Inputs!$C$41)</f>
        <v>5.755155</v>
      </c>
      <c r="H92" s="28" t="n">
        <f aca="false">IF(H$90&lt;=Inputs!$C$39,$C$86*Inputs!$C$38,$C$87*Inputs!$C$41)</f>
        <v>5.755155</v>
      </c>
      <c r="I92" s="28" t="n">
        <f aca="false">IF(I$90&lt;=Inputs!$C$39,$C$86*Inputs!$C$38,$C$87*Inputs!$C$41)</f>
        <v>5.755155</v>
      </c>
      <c r="J92" s="28" t="n">
        <f aca="false">IF(J$90&lt;=Inputs!$C$39,$C$86*Inputs!$C$38,$C$87*Inputs!$C$41)</f>
        <v>5.755155</v>
      </c>
      <c r="K92" s="28" t="n">
        <f aca="false">IF(K$90&lt;=Inputs!$C$39,$C$86*Inputs!$C$38,$C$87*Inputs!$C$41)</f>
        <v>5.755155</v>
      </c>
      <c r="L92" s="28" t="n">
        <f aca="false">IF(L$90&lt;=Inputs!$C$39,$C$86*Inputs!$C$38,$C$87*Inputs!$C$41)</f>
        <v>10.1153978070607</v>
      </c>
      <c r="M92" s="28" t="n">
        <f aca="false">IF(M$90&lt;=Inputs!$C$39,$C$86*Inputs!$C$38,$C$87*Inputs!$C$41)</f>
        <v>10.1153978070607</v>
      </c>
      <c r="N92" s="28" t="n">
        <f aca="false">IF(N$90&lt;=Inputs!$C$39,$C$86*Inputs!$C$38,$C$87*Inputs!$C$41)</f>
        <v>10.1153978070607</v>
      </c>
    </row>
    <row r="93" customFormat="false" ht="15" hidden="false" customHeight="false" outlineLevel="0" collapsed="false">
      <c r="B93" s="9" t="s">
        <v>94</v>
      </c>
      <c r="E93" s="26" t="n">
        <f aca="false">E91/E79</f>
        <v>7</v>
      </c>
      <c r="F93" s="26" t="n">
        <f aca="false">F91/F79</f>
        <v>6.35150892793645</v>
      </c>
      <c r="G93" s="26" t="n">
        <f aca="false">G91/G79</f>
        <v>5.78945760895908</v>
      </c>
      <c r="H93" s="26" t="n">
        <f aca="false">H91/H79</f>
        <v>5.29830516350476</v>
      </c>
      <c r="I93" s="26" t="n">
        <f aca="false">I91/I79</f>
        <v>4.8660052352717</v>
      </c>
      <c r="J93" s="26" t="n">
        <f aca="false">J91/J79</f>
        <v>4.48307663514432</v>
      </c>
      <c r="K93" s="26" t="n">
        <f aca="false">K91/K79</f>
        <v>7</v>
      </c>
      <c r="L93" s="26" t="n">
        <f aca="false">L91/L79</f>
        <v>6.48383182626066</v>
      </c>
      <c r="M93" s="26" t="n">
        <f aca="false">M91/M79</f>
        <v>6.01957331348731</v>
      </c>
      <c r="N93" s="26" t="n">
        <f aca="false">N91/N79</f>
        <v>5.60028075620036</v>
      </c>
    </row>
    <row r="94" customFormat="false" ht="15" hidden="false" customHeight="false" outlineLevel="0" collapsed="false">
      <c r="B94" s="9" t="s">
        <v>95</v>
      </c>
      <c r="E94" s="26" t="n">
        <f aca="false">E79/E92</f>
        <v>2.28571428571429</v>
      </c>
      <c r="F94" s="26" t="n">
        <f aca="false">F79/F92</f>
        <v>2.51908643781097</v>
      </c>
      <c r="G94" s="26" t="n">
        <f aca="false">G79/G92</f>
        <v>2.7636440372653</v>
      </c>
      <c r="H94" s="26" t="n">
        <f aca="false">H79/H92</f>
        <v>3.01983360834131</v>
      </c>
      <c r="I94" s="26" t="n">
        <f aca="false">I79/I92</f>
        <v>3.28811812285414</v>
      </c>
      <c r="J94" s="26" t="n">
        <f aca="false">J79/J92</f>
        <v>3.56897757994381</v>
      </c>
      <c r="K94" s="26" t="n">
        <f aca="false">K79/K92</f>
        <v>3.86290960573633</v>
      </c>
      <c r="L94" s="26" t="n">
        <f aca="false">L79/L92</f>
        <v>2.37276595026802</v>
      </c>
      <c r="M94" s="26" t="n">
        <f aca="false">M79/M92</f>
        <v>2.55576509885593</v>
      </c>
      <c r="N94" s="26" t="n">
        <f aca="false">N79/N92</f>
        <v>2.7471150205429</v>
      </c>
    </row>
    <row r="95" customFormat="false" ht="15" hidden="false" customHeight="false" outlineLevel="0" collapsed="false">
      <c r="B95" s="9" t="s">
        <v>96</v>
      </c>
      <c r="D95" s="28" t="n">
        <f aca="false">$C$86*(1-Inputs!$C$42)</f>
        <v>91.1616552</v>
      </c>
      <c r="E95" s="28" t="n">
        <f aca="false">-E92+IF(E$90=Inputs!$C$39,$C$87*(1-Inputs!$C$42)-$C$86,0)</f>
        <v>-5.755155</v>
      </c>
      <c r="F95" s="28" t="n">
        <f aca="false">-F92+IF(F$90=Inputs!$C$39,$C$87*(1-Inputs!$C$42)-$C$86,0)</f>
        <v>-5.755155</v>
      </c>
      <c r="G95" s="28" t="n">
        <f aca="false">-G92+IF(G$90=Inputs!$C$39,$C$87*(1-Inputs!$C$42)-$C$86,0)</f>
        <v>-5.755155</v>
      </c>
      <c r="H95" s="28" t="n">
        <f aca="false">-H92+IF(H$90=Inputs!$C$39,$C$87*(1-Inputs!$C$42)-$C$86,0)</f>
        <v>-5.755155</v>
      </c>
      <c r="I95" s="28" t="n">
        <f aca="false">-I92+IF(I$90=Inputs!$C$39,$C$87*(1-Inputs!$C$42)-$C$86,0)</f>
        <v>-5.755155</v>
      </c>
      <c r="J95" s="28" t="n">
        <f aca="false">-J92+IF(J$90=Inputs!$C$39,$C$87*(1-Inputs!$C$42)-$C$86,0)</f>
        <v>-5.755155</v>
      </c>
      <c r="K95" s="28" t="n">
        <f aca="false">-K92+IF(K$90=Inputs!$C$39,$C$87*(1-Inputs!$C$42)-$C$86,0)</f>
        <v>56.2276546767703</v>
      </c>
      <c r="L95" s="28" t="n">
        <f aca="false">-L92+IF(L$90=Inputs!$C$39,$C$87*(1-Inputs!$C$42)-$C$86,0)</f>
        <v>-10.1153978070607</v>
      </c>
      <c r="M95" s="28" t="n">
        <f aca="false">-M92+IF(M$90=Inputs!$C$39,$C$87*(1-Inputs!$C$42)-$C$86,0)</f>
        <v>-10.1153978070607</v>
      </c>
      <c r="N95" s="28" t="n">
        <f aca="false">-N92+IF(N$90=Inputs!$C$39,$C$87*(1-Inputs!$C$42)-$C$86,0)-$C$87</f>
        <v>-165.736902531071</v>
      </c>
    </row>
    <row r="96" customFormat="false" ht="15" hidden="false" customHeight="false" outlineLevel="0" collapsed="false">
      <c r="B96" s="29" t="s">
        <v>97</v>
      </c>
      <c r="D96" s="30" t="n">
        <f aca="false">D88+D95</f>
        <v>-196.4783448</v>
      </c>
      <c r="E96" s="30" t="n">
        <f aca="false">E88+E95</f>
        <v>-2.835015</v>
      </c>
      <c r="F96" s="30" t="n">
        <f aca="false">F88+F95</f>
        <v>-1.798957092</v>
      </c>
      <c r="G96" s="30" t="n">
        <f aca="false">G88+G95</f>
        <v>-0.707736250712403</v>
      </c>
      <c r="H96" s="30" t="n">
        <f aca="false">H88+H95</f>
        <v>0.440941008713558</v>
      </c>
      <c r="I96" s="30" t="n">
        <f aca="false">I88+I95</f>
        <v>1.64945453938962</v>
      </c>
      <c r="J96" s="30" t="n">
        <f aca="false">J88+J95</f>
        <v>2.92027365067816</v>
      </c>
      <c r="K96" s="30" t="n">
        <f aca="false">K88+K95</f>
        <v>66.2387699799457</v>
      </c>
      <c r="L96" s="30" t="n">
        <f aca="false">L88+L95</f>
        <v>1.29892960725784</v>
      </c>
      <c r="M96" s="30" t="n">
        <f aca="false">M88+M95</f>
        <v>2.77242447130721</v>
      </c>
      <c r="N96" s="30" t="n">
        <f aca="false">N88+N95</f>
        <v>421.036080334208</v>
      </c>
    </row>
    <row r="97" customFormat="false" ht="15" hidden="false" customHeight="false" outlineLevel="0" collapsed="false">
      <c r="B97" s="9" t="s">
        <v>98</v>
      </c>
      <c r="C97" s="28" t="n">
        <f aca="false">-D96</f>
        <v>196.4783448</v>
      </c>
    </row>
    <row r="98" customFormat="false" ht="15" hidden="false" customHeight="false" outlineLevel="0" collapsed="false">
      <c r="B98" s="9" t="s">
        <v>99</v>
      </c>
      <c r="C98" s="31" t="n">
        <f aca="false">IRR(D88:N88,0.08)</f>
        <v>0.0906615307563246</v>
      </c>
    </row>
    <row r="99" customFormat="false" ht="15" hidden="false" customHeight="false" outlineLevel="0" collapsed="false">
      <c r="B99" s="29" t="s">
        <v>100</v>
      </c>
      <c r="C99" s="32" t="n">
        <f aca="false">IRR(D96:N96,0.08)</f>
        <v>0.1</v>
      </c>
    </row>
    <row r="100" customFormat="false" ht="15" hidden="false" customHeight="false" outlineLevel="0" collapsed="false">
      <c r="B100" s="9" t="s">
        <v>101</v>
      </c>
      <c r="C100" s="22" t="n">
        <f aca="false">SUMIF(D96:N96,"&gt;0")/-SUMIF(D96:N96,"&lt;0")</f>
        <v>2.45940314583364</v>
      </c>
    </row>
    <row r="101" customFormat="false" ht="15" hidden="false" customHeight="false" outlineLevel="0" collapsed="false">
      <c r="B101" s="9" t="s">
        <v>102</v>
      </c>
      <c r="C101" s="33" t="n">
        <f aca="false">Inputs!$C$33/E79</f>
        <v>21.4373027312036</v>
      </c>
    </row>
    <row r="103" customFormat="false" ht="15" hidden="false" customHeight="false" outlineLevel="0" collapsed="false">
      <c r="B103" s="29" t="s">
        <v>133</v>
      </c>
      <c r="C103" s="32" t="n">
        <f aca="false">Inputs!$C$45</f>
        <v>0.1</v>
      </c>
    </row>
    <row r="104" customFormat="false" ht="15" hidden="false" customHeight="false" outlineLevel="0" collapsed="false">
      <c r="B104" s="29" t="s">
        <v>134</v>
      </c>
      <c r="C104" s="32" t="n">
        <f aca="false">$C$99</f>
        <v>0.1</v>
      </c>
    </row>
    <row r="105" customFormat="false" ht="15" hidden="false" customHeight="false" outlineLevel="0" collapsed="false">
      <c r="B105" s="29" t="s">
        <v>135</v>
      </c>
      <c r="C105" s="39" t="n">
        <f aca="false">C104-C103</f>
        <v>0</v>
      </c>
    </row>
    <row r="106" customFormat="false" ht="15" hidden="false" customHeight="false" outlineLevel="0" collapsed="false">
      <c r="B106" s="29" t="s">
        <v>136</v>
      </c>
      <c r="C106" s="40" t="str">
        <f aca="false">IF(ABS(C105)&lt;=0.000001,"OK","FAIL")</f>
        <v>OK</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4"/>
    <col collapsed="false" customWidth="true" hidden="false" outlineLevel="0" max="4" min="4" style="0" width="16"/>
    <col collapsed="false" customWidth="true" hidden="false" outlineLevel="0" max="5" min="5" style="0" width="62"/>
    <col collapsed="false" customWidth="true" hidden="false" outlineLevel="0" max="6" min="6" style="0" width="18"/>
    <col collapsed="false" customWidth="true" hidden="false" outlineLevel="0" max="8" min="7" style="0" width="14"/>
    <col collapsed="false" customWidth="true" hidden="false" outlineLevel="0" max="9" min="9" style="0" width="13"/>
    <col collapsed="false" customWidth="true" hidden="false" outlineLevel="0" max="10" min="10" style="0" width="11"/>
    <col collapsed="false" customWidth="true" hidden="false" outlineLevel="0" max="11" min="11" style="0" width="9"/>
  </cols>
  <sheetData>
    <row r="1" customFormat="false" ht="6" hidden="false" customHeight="true" outlineLevel="0" collapsed="false"/>
    <row r="2" customFormat="false" ht="17.35" hidden="false" customHeight="false" outlineLevel="0" collapsed="false">
      <c r="B2" s="5" t="s">
        <v>139</v>
      </c>
    </row>
    <row r="3" customFormat="false" ht="15" hidden="false" customHeight="false" outlineLevel="0" collapsed="false">
      <c r="B3" s="6" t="s">
        <v>140</v>
      </c>
    </row>
    <row r="5" customFormat="false" ht="15" hidden="false" customHeight="false" outlineLevel="0" collapsed="false">
      <c r="C5" s="29" t="s">
        <v>141</v>
      </c>
      <c r="D5" s="29"/>
      <c r="E5" s="42" t="n">
        <f aca="false">COUNTA(K11:K66)</f>
        <v>56</v>
      </c>
    </row>
    <row r="6" customFormat="false" ht="15" hidden="false" customHeight="false" outlineLevel="0" collapsed="false">
      <c r="C6" s="29" t="s">
        <v>142</v>
      </c>
      <c r="D6" s="29"/>
      <c r="E6" s="42" t="n">
        <f aca="false">COUNTIF(K11:K66,"PASS")</f>
        <v>56</v>
      </c>
    </row>
    <row r="7" customFormat="false" ht="15" hidden="false" customHeight="false" outlineLevel="0" collapsed="false">
      <c r="C7" s="29" t="s">
        <v>143</v>
      </c>
      <c r="D7" s="29"/>
      <c r="E7" s="42" t="n">
        <f aca="false">E5-E6</f>
        <v>0</v>
      </c>
    </row>
    <row r="8" customFormat="false" ht="15" hidden="false" customHeight="false" outlineLevel="0" collapsed="false">
      <c r="C8" s="29" t="s">
        <v>144</v>
      </c>
      <c r="D8" s="29"/>
      <c r="E8" s="40" t="str">
        <f aca="false">IF(AND(E5&gt;0,E6=E5,E7=0),"PASS","FAIL")</f>
        <v>PASS</v>
      </c>
    </row>
    <row r="10" customFormat="false" ht="30" hidden="false" customHeight="true" outlineLevel="0" collapsed="false">
      <c r="B10" s="23" t="s">
        <v>145</v>
      </c>
      <c r="C10" s="24" t="s">
        <v>146</v>
      </c>
      <c r="D10" s="24" t="s">
        <v>147</v>
      </c>
      <c r="E10" s="24" t="s">
        <v>148</v>
      </c>
      <c r="F10" s="24" t="s">
        <v>149</v>
      </c>
      <c r="G10" s="24" t="s">
        <v>150</v>
      </c>
      <c r="H10" s="24" t="s">
        <v>151</v>
      </c>
      <c r="I10" s="24" t="s">
        <v>135</v>
      </c>
      <c r="J10" s="24" t="s">
        <v>152</v>
      </c>
      <c r="K10" s="24" t="s">
        <v>153</v>
      </c>
    </row>
    <row r="11" customFormat="false" ht="15" hidden="false" customHeight="false" outlineLevel="0" collapsed="false">
      <c r="B11" s="43" t="n">
        <v>1</v>
      </c>
      <c r="C11" s="9" t="s">
        <v>154</v>
      </c>
      <c r="D11" s="9" t="s">
        <v>155</v>
      </c>
      <c r="E11" s="9" t="s">
        <v>104</v>
      </c>
      <c r="F11" s="44" t="s">
        <v>156</v>
      </c>
      <c r="G11" s="19" t="n">
        <v>1.45</v>
      </c>
      <c r="H11" s="45" t="n">
        <f aca="false">Model!$C$51</f>
        <v>1.44941176470588</v>
      </c>
      <c r="I11" s="46" t="n">
        <f aca="false">H11-G11</f>
        <v>-0.000588235294117556</v>
      </c>
      <c r="J11" s="47" t="n">
        <v>0.005000001</v>
      </c>
      <c r="K11" s="40" t="str">
        <f aca="false">IF(ISERROR(I11),"FAIL",IF(ABS(I11)&lt;=J11,"PASS","FAIL"))</f>
        <v>PASS</v>
      </c>
    </row>
    <row r="12" customFormat="false" ht="15" hidden="false" customHeight="false" outlineLevel="0" collapsed="false">
      <c r="B12" s="43" t="n">
        <v>2</v>
      </c>
      <c r="C12" s="9" t="s">
        <v>154</v>
      </c>
      <c r="D12" s="9" t="s">
        <v>157</v>
      </c>
      <c r="E12" s="9" t="s">
        <v>158</v>
      </c>
      <c r="F12" s="44" t="s">
        <v>159</v>
      </c>
      <c r="G12" s="19" t="n">
        <v>13.15</v>
      </c>
      <c r="H12" s="45" t="n">
        <f aca="false">Model!$E$26</f>
        <v>13.15464</v>
      </c>
      <c r="I12" s="46" t="n">
        <f aca="false">H12-G12</f>
        <v>0.0046400000000002</v>
      </c>
      <c r="J12" s="47" t="n">
        <v>0.005000001</v>
      </c>
      <c r="K12" s="40" t="str">
        <f aca="false">IF(ISERROR(I12),"FAIL",IF(ABS(I12)&lt;=J12,"PASS","FAIL"))</f>
        <v>PASS</v>
      </c>
    </row>
    <row r="13" customFormat="false" ht="15" hidden="false" customHeight="false" outlineLevel="0" collapsed="false">
      <c r="B13" s="43" t="n">
        <v>3</v>
      </c>
      <c r="C13" s="9" t="s">
        <v>160</v>
      </c>
      <c r="D13" s="9" t="s">
        <v>161</v>
      </c>
      <c r="E13" s="9" t="s">
        <v>162</v>
      </c>
      <c r="F13" s="44" t="s">
        <v>163</v>
      </c>
      <c r="G13" s="18" t="n">
        <v>0.0572</v>
      </c>
      <c r="H13" s="48" t="n">
        <f aca="false">Scenarios!$C$46</f>
        <v>0.057171919271942</v>
      </c>
      <c r="I13" s="46" t="n">
        <f aca="false">H13-G13</f>
        <v>-2.80807280579679E-005</v>
      </c>
      <c r="J13" s="47" t="n">
        <v>5.0001E-005</v>
      </c>
      <c r="K13" s="40" t="str">
        <f aca="false">IF(ISERROR(I13),"FAIL",IF(ABS(I13)&lt;=J13,"PASS","FAIL"))</f>
        <v>PASS</v>
      </c>
    </row>
    <row r="14" customFormat="false" ht="15" hidden="false" customHeight="false" outlineLevel="0" collapsed="false">
      <c r="B14" s="43" t="n">
        <v>4</v>
      </c>
      <c r="C14" s="9" t="s">
        <v>164</v>
      </c>
      <c r="D14" s="9" t="s">
        <v>165</v>
      </c>
      <c r="E14" s="9" t="s">
        <v>166</v>
      </c>
      <c r="F14" s="44" t="s">
        <v>167</v>
      </c>
      <c r="G14" s="49" t="n">
        <v>0.0296</v>
      </c>
      <c r="H14" s="50" t="n">
        <f aca="false">Thresholds!$C$6</f>
        <v>0.0295660691159682</v>
      </c>
      <c r="I14" s="46" t="n">
        <f aca="false">H14-G14</f>
        <v>-3.39308840317625E-005</v>
      </c>
      <c r="J14" s="47" t="n">
        <v>5.0001E-005</v>
      </c>
      <c r="K14" s="40" t="str">
        <f aca="false">IF(ISERROR(I14),"FAIL",IF(ABS(I14)&lt;=J14,"PASS","FAIL"))</f>
        <v>PASS</v>
      </c>
    </row>
    <row r="15" customFormat="false" ht="15" hidden="false" customHeight="false" outlineLevel="0" collapsed="false">
      <c r="B15" s="43" t="n">
        <v>5</v>
      </c>
      <c r="C15" s="9" t="s">
        <v>168</v>
      </c>
      <c r="D15" s="9" t="s">
        <v>169</v>
      </c>
      <c r="E15" s="9" t="s">
        <v>170</v>
      </c>
      <c r="F15" s="44" t="s">
        <v>171</v>
      </c>
      <c r="G15" s="10" t="n">
        <v>220800</v>
      </c>
      <c r="H15" s="26" t="n">
        <f aca="false">Buyout!$C$6</f>
        <v>220800</v>
      </c>
      <c r="I15" s="46" t="n">
        <f aca="false">H15-G15</f>
        <v>0</v>
      </c>
      <c r="J15" s="47" t="n">
        <v>0.500000001</v>
      </c>
      <c r="K15" s="40" t="str">
        <f aca="false">IF(ISERROR(I15),"FAIL",IF(ABS(I15)&lt;=J15,"PASS","FAIL"))</f>
        <v>PASS</v>
      </c>
    </row>
    <row r="16" customFormat="false" ht="15" hidden="false" customHeight="false" outlineLevel="0" collapsed="false">
      <c r="B16" s="43" t="n">
        <v>6</v>
      </c>
      <c r="C16" s="9" t="s">
        <v>168</v>
      </c>
      <c r="D16" s="9" t="s">
        <v>172</v>
      </c>
      <c r="E16" s="9" t="s">
        <v>173</v>
      </c>
      <c r="F16" s="44" t="s">
        <v>174</v>
      </c>
      <c r="G16" s="18" t="n">
        <v>0.0932</v>
      </c>
      <c r="H16" s="48" t="n">
        <f aca="false">Buyout!$C$13</f>
        <v>0.0932103563919319</v>
      </c>
      <c r="I16" s="46" t="n">
        <f aca="false">H16-G16</f>
        <v>1.03563919319066E-005</v>
      </c>
      <c r="J16" s="47" t="n">
        <v>5.0001E-005</v>
      </c>
      <c r="K16" s="40" t="str">
        <f aca="false">IF(ISERROR(I16),"FAIL",IF(ABS(I16)&lt;=J16,"PASS","FAIL"))</f>
        <v>PASS</v>
      </c>
    </row>
    <row r="17" customFormat="false" ht="15" hidden="false" customHeight="false" outlineLevel="0" collapsed="false">
      <c r="B17" s="43" t="n">
        <v>7</v>
      </c>
      <c r="C17" s="9" t="s">
        <v>168</v>
      </c>
      <c r="D17" s="9" t="s">
        <v>175</v>
      </c>
      <c r="E17" s="9" t="s">
        <v>176</v>
      </c>
      <c r="F17" s="44" t="s">
        <v>177</v>
      </c>
      <c r="G17" s="18" t="n">
        <v>0.115</v>
      </c>
      <c r="H17" s="48" t="n">
        <f aca="false">Buyout!$C$19</f>
        <v>0.114950541361719</v>
      </c>
      <c r="I17" s="46" t="n">
        <f aca="false">H17-G17</f>
        <v>-4.9458638280514E-005</v>
      </c>
      <c r="J17" s="47" t="n">
        <v>5.0001E-005</v>
      </c>
      <c r="K17" s="40" t="str">
        <f aca="false">IF(ISERROR(I17),"FAIL",IF(ABS(I17)&lt;=J17,"PASS","FAIL"))</f>
        <v>PASS</v>
      </c>
    </row>
    <row r="18" customFormat="false" ht="15" hidden="false" customHeight="false" outlineLevel="0" collapsed="false">
      <c r="B18" s="43" t="n">
        <v>8</v>
      </c>
      <c r="C18" s="9" t="s">
        <v>160</v>
      </c>
      <c r="D18" s="9" t="s">
        <v>178</v>
      </c>
      <c r="E18" s="9" t="s">
        <v>179</v>
      </c>
      <c r="F18" s="44" t="s">
        <v>180</v>
      </c>
      <c r="G18" s="18" t="n">
        <v>0.0924</v>
      </c>
      <c r="H18" s="48" t="n">
        <f aca="false">Scenarios!$C$91</f>
        <v>0.0923968738134912</v>
      </c>
      <c r="I18" s="46" t="n">
        <f aca="false">H18-G18</f>
        <v>-3.12618650882834E-006</v>
      </c>
      <c r="J18" s="47" t="n">
        <v>5.0001E-005</v>
      </c>
      <c r="K18" s="40" t="str">
        <f aca="false">IF(ISERROR(I18),"FAIL",IF(ABS(I18)&lt;=J18,"PASS","FAIL"))</f>
        <v>PASS</v>
      </c>
    </row>
    <row r="19" customFormat="false" ht="15" hidden="false" customHeight="false" outlineLevel="0" collapsed="false">
      <c r="B19" s="43" t="n">
        <v>9</v>
      </c>
      <c r="C19" s="9" t="s">
        <v>154</v>
      </c>
      <c r="D19" s="9" t="s">
        <v>181</v>
      </c>
      <c r="E19" s="9" t="s">
        <v>182</v>
      </c>
      <c r="F19" s="44" t="s">
        <v>183</v>
      </c>
      <c r="G19" s="12" t="n">
        <v>0.586</v>
      </c>
      <c r="H19" s="51" t="n">
        <f aca="false">Model!$C$53</f>
        <v>0.586089867347646</v>
      </c>
      <c r="I19" s="46" t="n">
        <f aca="false">H19-G19</f>
        <v>8.98673476463774E-005</v>
      </c>
      <c r="J19" s="47" t="n">
        <v>0.000500001</v>
      </c>
      <c r="K19" s="40" t="str">
        <f aca="false">IF(ISERROR(I19),"FAIL",IF(ABS(I19)&lt;=J19,"PASS","FAIL"))</f>
        <v>PASS</v>
      </c>
    </row>
    <row r="20" customFormat="false" ht="15" hidden="false" customHeight="false" outlineLevel="0" collapsed="false">
      <c r="B20" s="43" t="n">
        <v>10</v>
      </c>
      <c r="C20" s="9" t="s">
        <v>160</v>
      </c>
      <c r="D20" s="9" t="s">
        <v>184</v>
      </c>
      <c r="E20" s="9" t="s">
        <v>185</v>
      </c>
      <c r="F20" s="44" t="s">
        <v>186</v>
      </c>
      <c r="G20" s="18" t="n">
        <v>0.0902</v>
      </c>
      <c r="H20" s="48" t="n">
        <f aca="false">Scenarios!$C$136</f>
        <v>0.0902018384598484</v>
      </c>
      <c r="I20" s="46" t="n">
        <f aca="false">H20-G20</f>
        <v>1.83845984835784E-006</v>
      </c>
      <c r="J20" s="47" t="n">
        <v>5.0001E-005</v>
      </c>
      <c r="K20" s="40" t="str">
        <f aca="false">IF(ISERROR(I20),"FAIL",IF(ABS(I20)&lt;=J20,"PASS","FAIL"))</f>
        <v>PASS</v>
      </c>
    </row>
    <row r="21" customFormat="false" ht="15" hidden="false" customHeight="false" outlineLevel="0" collapsed="false">
      <c r="B21" s="43" t="n">
        <v>11</v>
      </c>
      <c r="C21" s="9" t="s">
        <v>187</v>
      </c>
      <c r="D21" s="9" t="s">
        <v>188</v>
      </c>
      <c r="E21" s="9" t="s">
        <v>47</v>
      </c>
      <c r="F21" s="44" t="s">
        <v>189</v>
      </c>
      <c r="G21" s="10" t="n">
        <v>282</v>
      </c>
      <c r="H21" s="26" t="n">
        <f aca="false">Inputs!$C$33</f>
        <v>282</v>
      </c>
      <c r="I21" s="46" t="n">
        <f aca="false">H21-G21</f>
        <v>0</v>
      </c>
      <c r="J21" s="47" t="n">
        <v>0.500000001</v>
      </c>
      <c r="K21" s="40" t="str">
        <f aca="false">IF(ISERROR(I21),"FAIL",IF(ABS(I21)&lt;=J21,"PASS","FAIL"))</f>
        <v>PASS</v>
      </c>
    </row>
    <row r="22" customFormat="false" ht="15" hidden="false" customHeight="false" outlineLevel="0" collapsed="false">
      <c r="B22" s="43" t="n">
        <v>12</v>
      </c>
      <c r="C22" s="9" t="s">
        <v>154</v>
      </c>
      <c r="D22" s="9" t="s">
        <v>190</v>
      </c>
      <c r="E22" s="9" t="s">
        <v>102</v>
      </c>
      <c r="F22" s="44" t="s">
        <v>191</v>
      </c>
      <c r="G22" s="16" t="n">
        <v>21.4</v>
      </c>
      <c r="H22" s="52" t="n">
        <f aca="false">Model!$C$48</f>
        <v>21.4373027312036</v>
      </c>
      <c r="I22" s="46" t="n">
        <f aca="false">H22-G22</f>
        <v>0.0373027312035923</v>
      </c>
      <c r="J22" s="47" t="n">
        <v>0.050000001</v>
      </c>
      <c r="K22" s="40" t="str">
        <f aca="false">IF(ISERROR(I22),"FAIL",IF(ABS(I22)&lt;=J22,"PASS","FAIL"))</f>
        <v>PASS</v>
      </c>
    </row>
    <row r="23" customFormat="false" ht="15" hidden="false" customHeight="false" outlineLevel="0" collapsed="false">
      <c r="B23" s="43" t="n">
        <v>13</v>
      </c>
      <c r="C23" s="9" t="s">
        <v>154</v>
      </c>
      <c r="D23" s="9" t="s">
        <v>192</v>
      </c>
      <c r="E23" s="9" t="s">
        <v>193</v>
      </c>
      <c r="F23" s="44" t="s">
        <v>194</v>
      </c>
      <c r="G23" s="16" t="n">
        <v>574.8</v>
      </c>
      <c r="H23" s="52" t="n">
        <f aca="false">Model!$C$32</f>
        <v>574.798115550225</v>
      </c>
      <c r="I23" s="46" t="n">
        <f aca="false">H23-G23</f>
        <v>-0.00188444977504787</v>
      </c>
      <c r="J23" s="47" t="n">
        <v>0.050000001</v>
      </c>
      <c r="K23" s="40" t="str">
        <f aca="false">IF(ISERROR(I23),"FAIL",IF(ABS(I23)&lt;=J23,"PASS","FAIL"))</f>
        <v>PASS</v>
      </c>
    </row>
    <row r="24" customFormat="false" ht="15" hidden="false" customHeight="false" outlineLevel="0" collapsed="false">
      <c r="B24" s="43" t="n">
        <v>14</v>
      </c>
      <c r="C24" s="9" t="s">
        <v>154</v>
      </c>
      <c r="D24" s="9" t="s">
        <v>195</v>
      </c>
      <c r="E24" s="9" t="s">
        <v>196</v>
      </c>
      <c r="F24" s="44" t="s">
        <v>197</v>
      </c>
      <c r="G24" s="16" t="n">
        <v>92.1</v>
      </c>
      <c r="H24" s="52" t="n">
        <f aca="false">Model!$C$33</f>
        <v>92.08248</v>
      </c>
      <c r="I24" s="46" t="n">
        <f aca="false">H24-G24</f>
        <v>-0.0175199999999904</v>
      </c>
      <c r="J24" s="47" t="n">
        <v>0.050000001</v>
      </c>
      <c r="K24" s="40" t="str">
        <f aca="false">IF(ISERROR(I24),"FAIL",IF(ABS(I24)&lt;=J24,"PASS","FAIL"))</f>
        <v>PASS</v>
      </c>
    </row>
    <row r="25" customFormat="false" ht="15" hidden="false" customHeight="false" outlineLevel="0" collapsed="false">
      <c r="B25" s="43" t="n">
        <v>15</v>
      </c>
      <c r="C25" s="9" t="s">
        <v>154</v>
      </c>
      <c r="D25" s="9" t="s">
        <v>198</v>
      </c>
      <c r="E25" s="9" t="s">
        <v>199</v>
      </c>
      <c r="F25" s="44" t="s">
        <v>200</v>
      </c>
      <c r="G25" s="16" t="n">
        <v>155.6</v>
      </c>
      <c r="H25" s="52" t="n">
        <f aca="false">Model!$C$34</f>
        <v>155.62150472401</v>
      </c>
      <c r="I25" s="46" t="n">
        <f aca="false">H25-G25</f>
        <v>0.0215047240104127</v>
      </c>
      <c r="J25" s="47" t="n">
        <v>0.050000001</v>
      </c>
      <c r="K25" s="40" t="str">
        <f aca="false">IF(ISERROR(I25),"FAIL",IF(ABS(I25)&lt;=J25,"PASS","FAIL"))</f>
        <v>PASS</v>
      </c>
    </row>
    <row r="26" customFormat="false" ht="15" hidden="false" customHeight="false" outlineLevel="0" collapsed="false">
      <c r="B26" s="43" t="n">
        <v>16</v>
      </c>
      <c r="C26" s="9" t="s">
        <v>154</v>
      </c>
      <c r="D26" s="9" t="s">
        <v>201</v>
      </c>
      <c r="E26" s="9" t="s">
        <v>98</v>
      </c>
      <c r="F26" s="44" t="s">
        <v>202</v>
      </c>
      <c r="G26" s="16" t="n">
        <v>196.5</v>
      </c>
      <c r="H26" s="52" t="n">
        <f aca="false">Model!$C$44</f>
        <v>196.4783448</v>
      </c>
      <c r="I26" s="46" t="n">
        <f aca="false">H26-G26</f>
        <v>-0.0216551999999979</v>
      </c>
      <c r="J26" s="47" t="n">
        <v>0.050000001</v>
      </c>
      <c r="K26" s="40" t="str">
        <f aca="false">IF(ISERROR(I26),"FAIL",IF(ABS(I26)&lt;=J26,"PASS","FAIL"))</f>
        <v>PASS</v>
      </c>
    </row>
    <row r="27" customFormat="false" ht="15" hidden="false" customHeight="false" outlineLevel="0" collapsed="false">
      <c r="B27" s="43" t="n">
        <v>17</v>
      </c>
      <c r="C27" s="9" t="s">
        <v>154</v>
      </c>
      <c r="D27" s="9" t="s">
        <v>203</v>
      </c>
      <c r="E27" s="9" t="s">
        <v>204</v>
      </c>
      <c r="F27" s="44" t="s">
        <v>205</v>
      </c>
      <c r="G27" s="18" t="n">
        <v>0.0911</v>
      </c>
      <c r="H27" s="48" t="n">
        <f aca="false">Model!$C$45</f>
        <v>0.0910788771039385</v>
      </c>
      <c r="I27" s="46" t="n">
        <f aca="false">H27-G27</f>
        <v>-2.11228960614873E-005</v>
      </c>
      <c r="J27" s="47" t="n">
        <v>5.0001E-005</v>
      </c>
      <c r="K27" s="40" t="str">
        <f aca="false">IF(ISERROR(I27),"FAIL",IF(ABS(I27)&lt;=J27,"PASS","FAIL"))</f>
        <v>PASS</v>
      </c>
    </row>
    <row r="28" customFormat="false" ht="15" hidden="false" customHeight="false" outlineLevel="0" collapsed="false">
      <c r="B28" s="43" t="n">
        <v>18</v>
      </c>
      <c r="C28" s="9" t="s">
        <v>154</v>
      </c>
      <c r="D28" s="9" t="s">
        <v>206</v>
      </c>
      <c r="E28" s="9" t="s">
        <v>207</v>
      </c>
      <c r="F28" s="44" t="s">
        <v>208</v>
      </c>
      <c r="G28" s="18" t="n">
        <v>0.1006</v>
      </c>
      <c r="H28" s="48" t="n">
        <f aca="false">Model!$C$46</f>
        <v>0.100551860861986</v>
      </c>
      <c r="I28" s="46" t="n">
        <f aca="false">H28-G28</f>
        <v>-4.81391380140611E-005</v>
      </c>
      <c r="J28" s="47" t="n">
        <v>5.0001E-005</v>
      </c>
      <c r="K28" s="40" t="str">
        <f aca="false">IF(ISERROR(I28),"FAIL",IF(ABS(I28)&lt;=J28,"PASS","FAIL"))</f>
        <v>PASS</v>
      </c>
    </row>
    <row r="29" customFormat="false" ht="15" hidden="false" customHeight="false" outlineLevel="0" collapsed="false">
      <c r="B29" s="43" t="n">
        <v>19</v>
      </c>
      <c r="C29" s="9" t="s">
        <v>160</v>
      </c>
      <c r="D29" s="9" t="s">
        <v>209</v>
      </c>
      <c r="E29" s="9" t="s">
        <v>210</v>
      </c>
      <c r="F29" s="44" t="s">
        <v>211</v>
      </c>
      <c r="G29" s="18" t="n">
        <v>0.0876</v>
      </c>
      <c r="H29" s="48" t="n">
        <f aca="false">Scenarios!$C$181</f>
        <v>0.0876047742759758</v>
      </c>
      <c r="I29" s="46" t="n">
        <f aca="false">H29-G29</f>
        <v>4.77427597579683E-006</v>
      </c>
      <c r="J29" s="47" t="n">
        <v>5.0001E-005</v>
      </c>
      <c r="K29" s="40" t="str">
        <f aca="false">IF(ISERROR(I29),"FAIL",IF(ABS(I29)&lt;=J29,"PASS","FAIL"))</f>
        <v>PASS</v>
      </c>
    </row>
    <row r="30" customFormat="false" ht="15" hidden="false" customHeight="false" outlineLevel="0" collapsed="false">
      <c r="B30" s="43" t="n">
        <v>20</v>
      </c>
      <c r="C30" s="9" t="s">
        <v>160</v>
      </c>
      <c r="D30" s="9" t="s">
        <v>212</v>
      </c>
      <c r="E30" s="9" t="s">
        <v>213</v>
      </c>
      <c r="F30" s="44" t="s">
        <v>214</v>
      </c>
      <c r="G30" s="18" t="n">
        <v>0.1122</v>
      </c>
      <c r="H30" s="48" t="n">
        <f aca="false">Scenarios!$C$226</f>
        <v>0.112208773916047</v>
      </c>
      <c r="I30" s="46" t="n">
        <f aca="false">H30-G30</f>
        <v>8.77391604706124E-006</v>
      </c>
      <c r="J30" s="47" t="n">
        <v>5.0001E-005</v>
      </c>
      <c r="K30" s="40" t="str">
        <f aca="false">IF(ISERROR(I30),"FAIL",IF(ABS(I30)&lt;=J30,"PASS","FAIL"))</f>
        <v>PASS</v>
      </c>
    </row>
    <row r="31" customFormat="false" ht="15" hidden="false" customHeight="false" outlineLevel="0" collapsed="false">
      <c r="B31" s="43" t="n">
        <v>21</v>
      </c>
      <c r="C31" s="9" t="s">
        <v>164</v>
      </c>
      <c r="D31" s="9" t="s">
        <v>215</v>
      </c>
      <c r="E31" s="9" t="s">
        <v>216</v>
      </c>
      <c r="F31" s="44" t="s">
        <v>217</v>
      </c>
      <c r="G31" s="16" t="n">
        <v>20.9</v>
      </c>
      <c r="H31" s="52" t="n">
        <f aca="false">Thresholds!$C$58</f>
        <v>20.9101398435659</v>
      </c>
      <c r="I31" s="46" t="n">
        <f aca="false">H31-G31</f>
        <v>0.0101398435659128</v>
      </c>
      <c r="J31" s="47" t="n">
        <v>0.050000001</v>
      </c>
      <c r="K31" s="40" t="str">
        <f aca="false">IF(ISERROR(I31),"FAIL",IF(ABS(I31)&lt;=J31,"PASS","FAIL"))</f>
        <v>PASS</v>
      </c>
    </row>
    <row r="32" customFormat="false" ht="15" hidden="false" customHeight="true" outlineLevel="0" collapsed="false">
      <c r="B32" s="43" t="n">
        <v>22</v>
      </c>
      <c r="C32" s="9" t="s">
        <v>154</v>
      </c>
      <c r="D32" s="9" t="s">
        <v>218</v>
      </c>
      <c r="E32" s="53" t="s">
        <v>219</v>
      </c>
      <c r="F32" s="44" t="s">
        <v>220</v>
      </c>
      <c r="G32" s="47" t="n">
        <v>0</v>
      </c>
      <c r="H32" s="46" t="n">
        <f aca="false">Model!D35+NPV(Model!$C$45,Model!$E$35:$N$35)</f>
        <v>0</v>
      </c>
      <c r="I32" s="46" t="n">
        <f aca="false">H32-G32</f>
        <v>0</v>
      </c>
      <c r="J32" s="54" t="n">
        <v>1E-005</v>
      </c>
      <c r="K32" s="40" t="str">
        <f aca="false">IF(ISERROR(I32),"FAIL",IF(ABS(I32)&lt;=J32,"PASS","FAIL"))</f>
        <v>PASS</v>
      </c>
    </row>
    <row r="33" customFormat="false" ht="15" hidden="false" customHeight="true" outlineLevel="0" collapsed="false">
      <c r="B33" s="43" t="n">
        <v>23</v>
      </c>
      <c r="C33" s="9" t="s">
        <v>154</v>
      </c>
      <c r="D33" s="9" t="s">
        <v>218</v>
      </c>
      <c r="E33" s="53" t="s">
        <v>221</v>
      </c>
      <c r="F33" s="44" t="s">
        <v>220</v>
      </c>
      <c r="G33" s="47" t="n">
        <v>0</v>
      </c>
      <c r="H33" s="46" t="n">
        <f aca="false">Model!D43+NPV(Model!$C$46,Model!$E$43:$N$43)</f>
        <v>0</v>
      </c>
      <c r="I33" s="46" t="n">
        <f aca="false">H33-G33</f>
        <v>0</v>
      </c>
      <c r="J33" s="54" t="n">
        <v>1E-005</v>
      </c>
      <c r="K33" s="40" t="str">
        <f aca="false">IF(ISERROR(I33),"FAIL",IF(ABS(I33)&lt;=J33,"PASS","FAIL"))</f>
        <v>PASS</v>
      </c>
    </row>
    <row r="34" customFormat="false" ht="15" hidden="false" customHeight="true" outlineLevel="0" collapsed="false">
      <c r="B34" s="43" t="n">
        <v>24</v>
      </c>
      <c r="C34" s="9" t="s">
        <v>154</v>
      </c>
      <c r="D34" s="9" t="s">
        <v>218</v>
      </c>
      <c r="E34" s="53" t="s">
        <v>222</v>
      </c>
      <c r="F34" s="44" t="s">
        <v>220</v>
      </c>
      <c r="G34" s="47" t="n">
        <v>0</v>
      </c>
      <c r="H34" s="46" t="n">
        <f aca="false">MIN(0,MIN(Model!$D$17:$N$17))</f>
        <v>0</v>
      </c>
      <c r="I34" s="46" t="n">
        <f aca="false">H34-G34</f>
        <v>0</v>
      </c>
      <c r="J34" s="54" t="n">
        <v>0</v>
      </c>
      <c r="K34" s="40" t="str">
        <f aca="false">IF(ISERROR(I34),"FAIL",IF(ABS(I34)&lt;=J34,"PASS","FAIL"))</f>
        <v>PASS</v>
      </c>
    </row>
    <row r="35" customFormat="false" ht="15" hidden="false" customHeight="true" outlineLevel="0" collapsed="false">
      <c r="B35" s="43" t="n">
        <v>25</v>
      </c>
      <c r="C35" s="9" t="s">
        <v>154</v>
      </c>
      <c r="D35" s="9" t="s">
        <v>218</v>
      </c>
      <c r="E35" s="53" t="s">
        <v>223</v>
      </c>
      <c r="F35" s="44" t="s">
        <v>220</v>
      </c>
      <c r="G35" s="47" t="n">
        <v>0</v>
      </c>
      <c r="H35" s="46" t="n">
        <f aca="false">IF(Model!$C$54&lt;Inputs!$C$43,0,1)</f>
        <v>0</v>
      </c>
      <c r="I35" s="46" t="n">
        <f aca="false">H35-G35</f>
        <v>0</v>
      </c>
      <c r="J35" s="54" t="n">
        <v>0</v>
      </c>
      <c r="K35" s="40" t="str">
        <f aca="false">IF(ISERROR(I35),"FAIL",IF(ABS(I35)&lt;=J35,"PASS","FAIL"))</f>
        <v>PASS</v>
      </c>
    </row>
    <row r="36" customFormat="false" ht="15" hidden="false" customHeight="true" outlineLevel="0" collapsed="false">
      <c r="B36" s="43" t="n">
        <v>26</v>
      </c>
      <c r="C36" s="9" t="s">
        <v>154</v>
      </c>
      <c r="D36" s="9" t="s">
        <v>218</v>
      </c>
      <c r="E36" s="53" t="s">
        <v>224</v>
      </c>
      <c r="F36" s="44" t="s">
        <v>220</v>
      </c>
      <c r="G36" s="47" t="n">
        <v>0</v>
      </c>
      <c r="H36" s="46" t="n">
        <f aca="false">IF(Model!$C$55&gt;Inputs!$C$44,0,1)</f>
        <v>0</v>
      </c>
      <c r="I36" s="46" t="n">
        <f aca="false">H36-G36</f>
        <v>0</v>
      </c>
      <c r="J36" s="54" t="n">
        <v>0</v>
      </c>
      <c r="K36" s="40" t="str">
        <f aca="false">IF(ISERROR(I36),"FAIL",IF(ABS(I36)&lt;=J36,"PASS","FAIL"))</f>
        <v>PASS</v>
      </c>
    </row>
    <row r="37" customFormat="false" ht="30" hidden="false" customHeight="true" outlineLevel="0" collapsed="false">
      <c r="B37" s="43" t="n">
        <v>27</v>
      </c>
      <c r="C37" s="9" t="s">
        <v>154</v>
      </c>
      <c r="D37" s="9" t="s">
        <v>218</v>
      </c>
      <c r="E37" s="53" t="s">
        <v>225</v>
      </c>
      <c r="F37" s="44" t="s">
        <v>220</v>
      </c>
      <c r="G37" s="47" t="n">
        <v>0</v>
      </c>
      <c r="H37" s="46" t="n">
        <f aca="false">SUM(Model!$E$21:$N$21)-SUM(Model!$E$19:$N$19)-SUM(Model!$E$20:$N$20)</f>
        <v>0</v>
      </c>
      <c r="I37" s="46" t="n">
        <f aca="false">H37-G37</f>
        <v>0</v>
      </c>
      <c r="J37" s="54" t="n">
        <v>1E-009</v>
      </c>
      <c r="K37" s="40" t="str">
        <f aca="false">IF(ISERROR(I37),"FAIL",IF(ABS(I37)&lt;=J37,"PASS","FAIL"))</f>
        <v>PASS</v>
      </c>
    </row>
    <row r="38" customFormat="false" ht="15" hidden="false" customHeight="true" outlineLevel="0" collapsed="false">
      <c r="B38" s="43" t="n">
        <v>28</v>
      </c>
      <c r="C38" s="9" t="s">
        <v>160</v>
      </c>
      <c r="D38" s="9" t="s">
        <v>218</v>
      </c>
      <c r="E38" s="53" t="s">
        <v>226</v>
      </c>
      <c r="F38" s="44" t="s">
        <v>220</v>
      </c>
      <c r="G38" s="47" t="n">
        <v>0</v>
      </c>
      <c r="H38" s="46" t="n">
        <f aca="false">Scenarios!D35+NPV(Scenarios!$C$45,Scenarios!$E$35:$N$35)</f>
        <v>0</v>
      </c>
      <c r="I38" s="46" t="n">
        <f aca="false">H38-G38</f>
        <v>0</v>
      </c>
      <c r="J38" s="54" t="n">
        <v>1E-005</v>
      </c>
      <c r="K38" s="40" t="str">
        <f aca="false">IF(ISERROR(I38),"FAIL",IF(ABS(I38)&lt;=J38,"PASS","FAIL"))</f>
        <v>PASS</v>
      </c>
    </row>
    <row r="39" customFormat="false" ht="15" hidden="false" customHeight="true" outlineLevel="0" collapsed="false">
      <c r="B39" s="43" t="n">
        <v>29</v>
      </c>
      <c r="C39" s="9" t="s">
        <v>160</v>
      </c>
      <c r="D39" s="9" t="s">
        <v>218</v>
      </c>
      <c r="E39" s="53" t="s">
        <v>227</v>
      </c>
      <c r="F39" s="44" t="s">
        <v>220</v>
      </c>
      <c r="G39" s="47" t="n">
        <v>0</v>
      </c>
      <c r="H39" s="46" t="n">
        <f aca="false">Scenarios!D43+NPV(Scenarios!$C$46,Scenarios!$E$43:$N$43)</f>
        <v>0</v>
      </c>
      <c r="I39" s="46" t="n">
        <f aca="false">H39-G39</f>
        <v>0</v>
      </c>
      <c r="J39" s="54" t="n">
        <v>1E-005</v>
      </c>
      <c r="K39" s="40" t="str">
        <f aca="false">IF(ISERROR(I39),"FAIL",IF(ABS(I39)&lt;=J39,"PASS","FAIL"))</f>
        <v>PASS</v>
      </c>
    </row>
    <row r="40" customFormat="false" ht="15" hidden="false" customHeight="true" outlineLevel="0" collapsed="false">
      <c r="B40" s="43" t="n">
        <v>30</v>
      </c>
      <c r="C40" s="9" t="s">
        <v>160</v>
      </c>
      <c r="D40" s="9" t="s">
        <v>218</v>
      </c>
      <c r="E40" s="53" t="s">
        <v>228</v>
      </c>
      <c r="F40" s="44" t="s">
        <v>220</v>
      </c>
      <c r="G40" s="47" t="n">
        <v>0</v>
      </c>
      <c r="H40" s="46" t="n">
        <f aca="false">MIN(0,MIN(Scenarios!$D$17:$N$17))</f>
        <v>0</v>
      </c>
      <c r="I40" s="46" t="n">
        <f aca="false">H40-G40</f>
        <v>0</v>
      </c>
      <c r="J40" s="54" t="n">
        <v>0</v>
      </c>
      <c r="K40" s="40" t="str">
        <f aca="false">IF(ISERROR(I40),"FAIL",IF(ABS(I40)&lt;=J40,"PASS","FAIL"))</f>
        <v>PASS</v>
      </c>
    </row>
    <row r="41" customFormat="false" ht="15" hidden="false" customHeight="true" outlineLevel="0" collapsed="false">
      <c r="B41" s="43" t="n">
        <v>31</v>
      </c>
      <c r="C41" s="9" t="s">
        <v>160</v>
      </c>
      <c r="D41" s="9" t="s">
        <v>218</v>
      </c>
      <c r="E41" s="53" t="s">
        <v>229</v>
      </c>
      <c r="F41" s="44" t="s">
        <v>220</v>
      </c>
      <c r="G41" s="47" t="n">
        <v>0</v>
      </c>
      <c r="H41" s="46" t="n">
        <f aca="false">Scenarios!D80+NPV(Scenarios!$C$90,Scenarios!$E$80:$N$80)</f>
        <v>2.99564817396458E-011</v>
      </c>
      <c r="I41" s="46" t="n">
        <f aca="false">H41-G41</f>
        <v>2.99564817396458E-011</v>
      </c>
      <c r="J41" s="54" t="n">
        <v>1E-005</v>
      </c>
      <c r="K41" s="40" t="str">
        <f aca="false">IF(ISERROR(I41),"FAIL",IF(ABS(I41)&lt;=J41,"PASS","FAIL"))</f>
        <v>PASS</v>
      </c>
    </row>
    <row r="42" customFormat="false" ht="15" hidden="false" customHeight="true" outlineLevel="0" collapsed="false">
      <c r="B42" s="43" t="n">
        <v>32</v>
      </c>
      <c r="C42" s="9" t="s">
        <v>160</v>
      </c>
      <c r="D42" s="9" t="s">
        <v>218</v>
      </c>
      <c r="E42" s="53" t="s">
        <v>230</v>
      </c>
      <c r="F42" s="44" t="s">
        <v>220</v>
      </c>
      <c r="G42" s="47" t="n">
        <v>0</v>
      </c>
      <c r="H42" s="46" t="n">
        <f aca="false">Scenarios!D88+NPV(Scenarios!$C$91,Scenarios!$E$88:$N$88)</f>
        <v>0</v>
      </c>
      <c r="I42" s="46" t="n">
        <f aca="false">H42-G42</f>
        <v>0</v>
      </c>
      <c r="J42" s="54" t="n">
        <v>1E-005</v>
      </c>
      <c r="K42" s="40" t="str">
        <f aca="false">IF(ISERROR(I42),"FAIL",IF(ABS(I42)&lt;=J42,"PASS","FAIL"))</f>
        <v>PASS</v>
      </c>
    </row>
    <row r="43" customFormat="false" ht="15" hidden="false" customHeight="true" outlineLevel="0" collapsed="false">
      <c r="B43" s="43" t="n">
        <v>33</v>
      </c>
      <c r="C43" s="9" t="s">
        <v>160</v>
      </c>
      <c r="D43" s="9" t="s">
        <v>218</v>
      </c>
      <c r="E43" s="53" t="s">
        <v>231</v>
      </c>
      <c r="F43" s="44" t="s">
        <v>220</v>
      </c>
      <c r="G43" s="47" t="n">
        <v>0</v>
      </c>
      <c r="H43" s="46" t="n">
        <f aca="false">MIN(0,MIN(Scenarios!$D$62:$N$62))</f>
        <v>0</v>
      </c>
      <c r="I43" s="46" t="n">
        <f aca="false">H43-G43</f>
        <v>0</v>
      </c>
      <c r="J43" s="54" t="n">
        <v>0</v>
      </c>
      <c r="K43" s="40" t="str">
        <f aca="false">IF(ISERROR(I43),"FAIL",IF(ABS(I43)&lt;=J43,"PASS","FAIL"))</f>
        <v>PASS</v>
      </c>
    </row>
    <row r="44" customFormat="false" ht="30" hidden="false" customHeight="true" outlineLevel="0" collapsed="false">
      <c r="B44" s="43" t="n">
        <v>34</v>
      </c>
      <c r="C44" s="9" t="s">
        <v>160</v>
      </c>
      <c r="D44" s="9" t="s">
        <v>218</v>
      </c>
      <c r="E44" s="53" t="s">
        <v>232</v>
      </c>
      <c r="F44" s="44" t="s">
        <v>220</v>
      </c>
      <c r="G44" s="47" t="n">
        <v>0</v>
      </c>
      <c r="H44" s="46" t="n">
        <f aca="false">Scenarios!D125+NPV(Scenarios!$C$135,Scenarios!$E$125:$N$125)</f>
        <v>4.2632564145606E-012</v>
      </c>
      <c r="I44" s="46" t="n">
        <f aca="false">H44-G44</f>
        <v>4.2632564145606E-012</v>
      </c>
      <c r="J44" s="54" t="n">
        <v>1E-005</v>
      </c>
      <c r="K44" s="40" t="str">
        <f aca="false">IF(ISERROR(I44),"FAIL",IF(ABS(I44)&lt;=J44,"PASS","FAIL"))</f>
        <v>PASS</v>
      </c>
    </row>
    <row r="45" customFormat="false" ht="30" hidden="false" customHeight="true" outlineLevel="0" collapsed="false">
      <c r="B45" s="43" t="n">
        <v>35</v>
      </c>
      <c r="C45" s="9" t="s">
        <v>160</v>
      </c>
      <c r="D45" s="9" t="s">
        <v>218</v>
      </c>
      <c r="E45" s="53" t="s">
        <v>233</v>
      </c>
      <c r="F45" s="44" t="s">
        <v>220</v>
      </c>
      <c r="G45" s="47" t="n">
        <v>0</v>
      </c>
      <c r="H45" s="46" t="n">
        <f aca="false">Scenarios!D133+NPV(Scenarios!$C$136,Scenarios!$E$133:$N$133)</f>
        <v>0</v>
      </c>
      <c r="I45" s="46" t="n">
        <f aca="false">H45-G45</f>
        <v>0</v>
      </c>
      <c r="J45" s="54" t="n">
        <v>1E-005</v>
      </c>
      <c r="K45" s="40" t="str">
        <f aca="false">IF(ISERROR(I45),"FAIL",IF(ABS(I45)&lt;=J45,"PASS","FAIL"))</f>
        <v>PASS</v>
      </c>
    </row>
    <row r="46" customFormat="false" ht="30" hidden="false" customHeight="true" outlineLevel="0" collapsed="false">
      <c r="B46" s="43" t="n">
        <v>36</v>
      </c>
      <c r="C46" s="9" t="s">
        <v>160</v>
      </c>
      <c r="D46" s="9" t="s">
        <v>218</v>
      </c>
      <c r="E46" s="53" t="s">
        <v>234</v>
      </c>
      <c r="F46" s="44" t="s">
        <v>220</v>
      </c>
      <c r="G46" s="47" t="n">
        <v>0</v>
      </c>
      <c r="H46" s="46" t="n">
        <f aca="false">MIN(0,MIN(Scenarios!$D$107:$N$107))</f>
        <v>0</v>
      </c>
      <c r="I46" s="46" t="n">
        <f aca="false">H46-G46</f>
        <v>0</v>
      </c>
      <c r="J46" s="54" t="n">
        <v>0</v>
      </c>
      <c r="K46" s="40" t="str">
        <f aca="false">IF(ISERROR(I46),"FAIL",IF(ABS(I46)&lt;=J46,"PASS","FAIL"))</f>
        <v>PASS</v>
      </c>
    </row>
    <row r="47" customFormat="false" ht="30" hidden="false" customHeight="true" outlineLevel="0" collapsed="false">
      <c r="B47" s="43" t="n">
        <v>37</v>
      </c>
      <c r="C47" s="9" t="s">
        <v>160</v>
      </c>
      <c r="D47" s="9" t="s">
        <v>218</v>
      </c>
      <c r="E47" s="53" t="s">
        <v>235</v>
      </c>
      <c r="F47" s="44" t="s">
        <v>220</v>
      </c>
      <c r="G47" s="47" t="n">
        <v>0</v>
      </c>
      <c r="H47" s="46" t="n">
        <f aca="false">Scenarios!D170+NPV(Scenarios!$C$180,Scenarios!$E$170:$N$170)</f>
        <v>0</v>
      </c>
      <c r="I47" s="46" t="n">
        <f aca="false">H47-G47</f>
        <v>0</v>
      </c>
      <c r="J47" s="54" t="n">
        <v>1E-005</v>
      </c>
      <c r="K47" s="40" t="str">
        <f aca="false">IF(ISERROR(I47),"FAIL",IF(ABS(I47)&lt;=J47,"PASS","FAIL"))</f>
        <v>PASS</v>
      </c>
    </row>
    <row r="48" customFormat="false" ht="30" hidden="false" customHeight="true" outlineLevel="0" collapsed="false">
      <c r="B48" s="43" t="n">
        <v>38</v>
      </c>
      <c r="C48" s="9" t="s">
        <v>160</v>
      </c>
      <c r="D48" s="9" t="s">
        <v>218</v>
      </c>
      <c r="E48" s="53" t="s">
        <v>236</v>
      </c>
      <c r="F48" s="44" t="s">
        <v>220</v>
      </c>
      <c r="G48" s="47" t="n">
        <v>0</v>
      </c>
      <c r="H48" s="46" t="n">
        <f aca="false">Scenarios!D178+NPV(Scenarios!$C$181,Scenarios!$E$178:$N$178)</f>
        <v>0</v>
      </c>
      <c r="I48" s="46" t="n">
        <f aca="false">H48-G48</f>
        <v>0</v>
      </c>
      <c r="J48" s="54" t="n">
        <v>1E-005</v>
      </c>
      <c r="K48" s="40" t="str">
        <f aca="false">IF(ISERROR(I48),"FAIL",IF(ABS(I48)&lt;=J48,"PASS","FAIL"))</f>
        <v>PASS</v>
      </c>
    </row>
    <row r="49" customFormat="false" ht="30" hidden="false" customHeight="true" outlineLevel="0" collapsed="false">
      <c r="B49" s="43" t="n">
        <v>39</v>
      </c>
      <c r="C49" s="9" t="s">
        <v>160</v>
      </c>
      <c r="D49" s="9" t="s">
        <v>218</v>
      </c>
      <c r="E49" s="53" t="s">
        <v>237</v>
      </c>
      <c r="F49" s="44" t="s">
        <v>220</v>
      </c>
      <c r="G49" s="47" t="n">
        <v>0</v>
      </c>
      <c r="H49" s="46" t="n">
        <f aca="false">MIN(0,MIN(Scenarios!$D$152:$N$152))</f>
        <v>0</v>
      </c>
      <c r="I49" s="46" t="n">
        <f aca="false">H49-G49</f>
        <v>0</v>
      </c>
      <c r="J49" s="54" t="n">
        <v>0</v>
      </c>
      <c r="K49" s="40" t="str">
        <f aca="false">IF(ISERROR(I49),"FAIL",IF(ABS(I49)&lt;=J49,"PASS","FAIL"))</f>
        <v>PASS</v>
      </c>
    </row>
    <row r="50" customFormat="false" ht="15" hidden="false" customHeight="true" outlineLevel="0" collapsed="false">
      <c r="B50" s="43" t="n">
        <v>40</v>
      </c>
      <c r="C50" s="9" t="s">
        <v>160</v>
      </c>
      <c r="D50" s="9" t="s">
        <v>218</v>
      </c>
      <c r="E50" s="53" t="s">
        <v>238</v>
      </c>
      <c r="F50" s="44" t="s">
        <v>220</v>
      </c>
      <c r="G50" s="47" t="n">
        <v>0</v>
      </c>
      <c r="H50" s="46" t="n">
        <f aca="false">Scenarios!D215+NPV(Scenarios!$C$225,Scenarios!$E$215:$N$215)</f>
        <v>0</v>
      </c>
      <c r="I50" s="46" t="n">
        <f aca="false">H50-G50</f>
        <v>0</v>
      </c>
      <c r="J50" s="54" t="n">
        <v>1E-005</v>
      </c>
      <c r="K50" s="40" t="str">
        <f aca="false">IF(ISERROR(I50),"FAIL",IF(ABS(I50)&lt;=J50,"PASS","FAIL"))</f>
        <v>PASS</v>
      </c>
    </row>
    <row r="51" customFormat="false" ht="15" hidden="false" customHeight="true" outlineLevel="0" collapsed="false">
      <c r="B51" s="43" t="n">
        <v>41</v>
      </c>
      <c r="C51" s="9" t="s">
        <v>160</v>
      </c>
      <c r="D51" s="9" t="s">
        <v>218</v>
      </c>
      <c r="E51" s="53" t="s">
        <v>239</v>
      </c>
      <c r="F51" s="44" t="s">
        <v>220</v>
      </c>
      <c r="G51" s="47" t="n">
        <v>0</v>
      </c>
      <c r="H51" s="46" t="n">
        <f aca="false">Scenarios!D223+NPV(Scenarios!$C$226,Scenarios!$E$223:$N$223)</f>
        <v>1.76498815562809E-011</v>
      </c>
      <c r="I51" s="46" t="n">
        <f aca="false">H51-G51</f>
        <v>1.76498815562809E-011</v>
      </c>
      <c r="J51" s="54" t="n">
        <v>1E-005</v>
      </c>
      <c r="K51" s="40" t="str">
        <f aca="false">IF(ISERROR(I51),"FAIL",IF(ABS(I51)&lt;=J51,"PASS","FAIL"))</f>
        <v>PASS</v>
      </c>
    </row>
    <row r="52" customFormat="false" ht="15" hidden="false" customHeight="true" outlineLevel="0" collapsed="false">
      <c r="B52" s="43" t="n">
        <v>42</v>
      </c>
      <c r="C52" s="9" t="s">
        <v>160</v>
      </c>
      <c r="D52" s="9" t="s">
        <v>218</v>
      </c>
      <c r="E52" s="53" t="s">
        <v>240</v>
      </c>
      <c r="F52" s="44" t="s">
        <v>220</v>
      </c>
      <c r="G52" s="47" t="n">
        <v>0</v>
      </c>
      <c r="H52" s="46" t="n">
        <f aca="false">MIN(0,MIN(Scenarios!$D$197:$N$197))</f>
        <v>0</v>
      </c>
      <c r="I52" s="46" t="n">
        <f aca="false">H52-G52</f>
        <v>0</v>
      </c>
      <c r="J52" s="54" t="n">
        <v>0</v>
      </c>
      <c r="K52" s="40" t="str">
        <f aca="false">IF(ISERROR(I52),"FAIL",IF(ABS(I52)&lt;=J52,"PASS","FAIL"))</f>
        <v>PASS</v>
      </c>
    </row>
    <row r="53" customFormat="false" ht="30" hidden="false" customHeight="true" outlineLevel="0" collapsed="false">
      <c r="B53" s="43" t="n">
        <v>43</v>
      </c>
      <c r="C53" s="9" t="s">
        <v>160</v>
      </c>
      <c r="D53" s="9" t="s">
        <v>218</v>
      </c>
      <c r="E53" s="53" t="s">
        <v>241</v>
      </c>
      <c r="F53" s="44" t="s">
        <v>220</v>
      </c>
      <c r="G53" s="47" t="n">
        <v>0</v>
      </c>
      <c r="H53" s="46" t="n">
        <f aca="false">Scenarios!D260+NPV(Scenarios!$C$270,Scenarios!$E$260:$N$260)</f>
        <v>0</v>
      </c>
      <c r="I53" s="46" t="n">
        <f aca="false">H53-G53</f>
        <v>0</v>
      </c>
      <c r="J53" s="54" t="n">
        <v>1E-005</v>
      </c>
      <c r="K53" s="40" t="str">
        <f aca="false">IF(ISERROR(I53),"FAIL",IF(ABS(I53)&lt;=J53,"PASS","FAIL"))</f>
        <v>PASS</v>
      </c>
    </row>
    <row r="54" customFormat="false" ht="30" hidden="false" customHeight="true" outlineLevel="0" collapsed="false">
      <c r="B54" s="43" t="n">
        <v>44</v>
      </c>
      <c r="C54" s="9" t="s">
        <v>160</v>
      </c>
      <c r="D54" s="9" t="s">
        <v>218</v>
      </c>
      <c r="E54" s="53" t="s">
        <v>242</v>
      </c>
      <c r="F54" s="44" t="s">
        <v>220</v>
      </c>
      <c r="G54" s="47" t="n">
        <v>0</v>
      </c>
      <c r="H54" s="46" t="n">
        <f aca="false">Scenarios!D268+NPV(Scenarios!$C$271,Scenarios!$E$268:$N$268)</f>
        <v>0</v>
      </c>
      <c r="I54" s="46" t="n">
        <f aca="false">H54-G54</f>
        <v>0</v>
      </c>
      <c r="J54" s="54" t="n">
        <v>1E-005</v>
      </c>
      <c r="K54" s="40" t="str">
        <f aca="false">IF(ISERROR(I54),"FAIL",IF(ABS(I54)&lt;=J54,"PASS","FAIL"))</f>
        <v>PASS</v>
      </c>
    </row>
    <row r="55" customFormat="false" ht="30" hidden="false" customHeight="true" outlineLevel="0" collapsed="false">
      <c r="B55" s="43" t="n">
        <v>45</v>
      </c>
      <c r="C55" s="9" t="s">
        <v>160</v>
      </c>
      <c r="D55" s="9" t="s">
        <v>218</v>
      </c>
      <c r="E55" s="53" t="s">
        <v>243</v>
      </c>
      <c r="F55" s="44" t="s">
        <v>220</v>
      </c>
      <c r="G55" s="47" t="n">
        <v>0</v>
      </c>
      <c r="H55" s="46" t="n">
        <f aca="false">MIN(0,MIN(Scenarios!$D$242:$N$242))</f>
        <v>0</v>
      </c>
      <c r="I55" s="46" t="n">
        <f aca="false">H55-G55</f>
        <v>0</v>
      </c>
      <c r="J55" s="54" t="n">
        <v>0</v>
      </c>
      <c r="K55" s="40" t="str">
        <f aca="false">IF(ISERROR(I55),"FAIL",IF(ABS(I55)&lt;=J55,"PASS","FAIL"))</f>
        <v>PASS</v>
      </c>
    </row>
    <row r="56" customFormat="false" ht="30" hidden="false" customHeight="true" outlineLevel="0" collapsed="false">
      <c r="B56" s="43" t="n">
        <v>46</v>
      </c>
      <c r="C56" s="9" t="s">
        <v>168</v>
      </c>
      <c r="D56" s="9" t="s">
        <v>218</v>
      </c>
      <c r="E56" s="53" t="s">
        <v>244</v>
      </c>
      <c r="F56" s="44" t="s">
        <v>220</v>
      </c>
      <c r="G56" s="47" t="n">
        <v>0</v>
      </c>
      <c r="H56" s="46" t="n">
        <f aca="false">Buyout!D12+NPV(Buyout!$C$13,Buyout!$E$12:$N$12)</f>
        <v>0</v>
      </c>
      <c r="I56" s="46" t="n">
        <f aca="false">H56-G56</f>
        <v>0</v>
      </c>
      <c r="J56" s="54" t="n">
        <v>1E-005</v>
      </c>
      <c r="K56" s="40" t="str">
        <f aca="false">IF(ISERROR(I56),"FAIL",IF(ABS(I56)&lt;=J56,"PASS","FAIL"))</f>
        <v>PASS</v>
      </c>
    </row>
    <row r="57" customFormat="false" ht="30" hidden="false" customHeight="true" outlineLevel="0" collapsed="false">
      <c r="B57" s="43" t="n">
        <v>47</v>
      </c>
      <c r="C57" s="9" t="s">
        <v>168</v>
      </c>
      <c r="D57" s="9" t="s">
        <v>218</v>
      </c>
      <c r="E57" s="53" t="s">
        <v>245</v>
      </c>
      <c r="F57" s="44" t="s">
        <v>220</v>
      </c>
      <c r="G57" s="47" t="n">
        <v>0</v>
      </c>
      <c r="H57" s="46" t="n">
        <f aca="false">Buyout!D18+NPV(Buyout!$C$19,Buyout!$E$18:$N$18)</f>
        <v>2.79687810689211E-008</v>
      </c>
      <c r="I57" s="46" t="n">
        <f aca="false">H57-G57</f>
        <v>2.79687810689211E-008</v>
      </c>
      <c r="J57" s="54" t="n">
        <v>1E-005</v>
      </c>
      <c r="K57" s="40" t="str">
        <f aca="false">IF(ISERROR(I57),"FAIL",IF(ABS(I57)&lt;=J57,"PASS","FAIL"))</f>
        <v>PASS</v>
      </c>
    </row>
    <row r="58" customFormat="false" ht="30" hidden="false" customHeight="true" outlineLevel="0" collapsed="false">
      <c r="B58" s="43" t="n">
        <v>48</v>
      </c>
      <c r="C58" s="9" t="s">
        <v>164</v>
      </c>
      <c r="D58" s="9" t="s">
        <v>218</v>
      </c>
      <c r="E58" s="53" t="s">
        <v>246</v>
      </c>
      <c r="F58" s="44" t="s">
        <v>220</v>
      </c>
      <c r="G58" s="47" t="n">
        <v>0</v>
      </c>
      <c r="H58" s="46" t="n">
        <f aca="false">Thresholds!D36+NPV(Thresholds!$C$46,Thresholds!$E$36:$N$36)</f>
        <v>0</v>
      </c>
      <c r="I58" s="46" t="n">
        <f aca="false">H58-G58</f>
        <v>0</v>
      </c>
      <c r="J58" s="54" t="n">
        <v>1E-005</v>
      </c>
      <c r="K58" s="40" t="str">
        <f aca="false">IF(ISERROR(I58),"FAIL",IF(ABS(I58)&lt;=J58,"PASS","FAIL"))</f>
        <v>PASS</v>
      </c>
    </row>
    <row r="59" customFormat="false" ht="30" hidden="false" customHeight="true" outlineLevel="0" collapsed="false">
      <c r="B59" s="43" t="n">
        <v>49</v>
      </c>
      <c r="C59" s="9" t="s">
        <v>164</v>
      </c>
      <c r="D59" s="9" t="s">
        <v>218</v>
      </c>
      <c r="E59" s="53" t="s">
        <v>247</v>
      </c>
      <c r="F59" s="44" t="s">
        <v>220</v>
      </c>
      <c r="G59" s="47" t="n">
        <v>0</v>
      </c>
      <c r="H59" s="46" t="n">
        <f aca="false">Thresholds!D44+NPV(Thresholds!$C$47,Thresholds!$E$44:$N$44)</f>
        <v>0</v>
      </c>
      <c r="I59" s="46" t="n">
        <f aca="false">H59-G59</f>
        <v>0</v>
      </c>
      <c r="J59" s="54" t="n">
        <v>1E-005</v>
      </c>
      <c r="K59" s="40" t="str">
        <f aca="false">IF(ISERROR(I59),"FAIL",IF(ABS(I59)&lt;=J59,"PASS","FAIL"))</f>
        <v>PASS</v>
      </c>
    </row>
    <row r="60" customFormat="false" ht="30" hidden="false" customHeight="true" outlineLevel="0" collapsed="false">
      <c r="B60" s="43" t="n">
        <v>50</v>
      </c>
      <c r="C60" s="9" t="s">
        <v>164</v>
      </c>
      <c r="D60" s="9" t="s">
        <v>218</v>
      </c>
      <c r="E60" s="53" t="s">
        <v>248</v>
      </c>
      <c r="F60" s="44" t="s">
        <v>220</v>
      </c>
      <c r="G60" s="47" t="n">
        <v>0</v>
      </c>
      <c r="H60" s="46" t="n">
        <f aca="false">MIN(0,MIN(Thresholds!$D$18:$N$18))</f>
        <v>0</v>
      </c>
      <c r="I60" s="46" t="n">
        <f aca="false">H60-G60</f>
        <v>0</v>
      </c>
      <c r="J60" s="54" t="n">
        <v>0</v>
      </c>
      <c r="K60" s="40" t="str">
        <f aca="false">IF(ISERROR(I60),"FAIL",IF(ABS(I60)&lt;=J60,"PASS","FAIL"))</f>
        <v>PASS</v>
      </c>
    </row>
    <row r="61" customFormat="false" ht="30" hidden="false" customHeight="true" outlineLevel="0" collapsed="false">
      <c r="B61" s="43" t="n">
        <v>51</v>
      </c>
      <c r="C61" s="9" t="s">
        <v>164</v>
      </c>
      <c r="D61" s="9" t="s">
        <v>218</v>
      </c>
      <c r="E61" s="53" t="s">
        <v>249</v>
      </c>
      <c r="F61" s="44" t="s">
        <v>220</v>
      </c>
      <c r="G61" s="47" t="n">
        <v>0</v>
      </c>
      <c r="H61" s="46" t="n">
        <f aca="false">Thresholds!$C$47-Inputs!$C$45</f>
        <v>0</v>
      </c>
      <c r="I61" s="46" t="n">
        <f aca="false">H61-G61</f>
        <v>0</v>
      </c>
      <c r="J61" s="54" t="n">
        <v>1E-006</v>
      </c>
      <c r="K61" s="40" t="str">
        <f aca="false">IF(ISERROR(I61),"FAIL",IF(ABS(I61)&lt;=J61,"PASS","FAIL"))</f>
        <v>PASS</v>
      </c>
    </row>
    <row r="62" customFormat="false" ht="30" hidden="false" customHeight="true" outlineLevel="0" collapsed="false">
      <c r="B62" s="43" t="n">
        <v>52</v>
      </c>
      <c r="C62" s="9" t="s">
        <v>164</v>
      </c>
      <c r="D62" s="9" t="s">
        <v>218</v>
      </c>
      <c r="E62" s="53" t="s">
        <v>250</v>
      </c>
      <c r="F62" s="44" t="s">
        <v>220</v>
      </c>
      <c r="G62" s="47" t="n">
        <v>0</v>
      </c>
      <c r="H62" s="46" t="n">
        <f aca="false">Thresholds!D88+NPV(Thresholds!$C$98,Thresholds!$E$88:$N$88)</f>
        <v>0</v>
      </c>
      <c r="I62" s="46" t="n">
        <f aca="false">H62-G62</f>
        <v>0</v>
      </c>
      <c r="J62" s="54" t="n">
        <v>1E-005</v>
      </c>
      <c r="K62" s="40" t="str">
        <f aca="false">IF(ISERROR(I62),"FAIL",IF(ABS(I62)&lt;=J62,"PASS","FAIL"))</f>
        <v>PASS</v>
      </c>
    </row>
    <row r="63" customFormat="false" ht="30" hidden="false" customHeight="true" outlineLevel="0" collapsed="false">
      <c r="B63" s="43" t="n">
        <v>53</v>
      </c>
      <c r="C63" s="9" t="s">
        <v>164</v>
      </c>
      <c r="D63" s="9" t="s">
        <v>218</v>
      </c>
      <c r="E63" s="53" t="s">
        <v>251</v>
      </c>
      <c r="F63" s="44" t="s">
        <v>220</v>
      </c>
      <c r="G63" s="47" t="n">
        <v>0</v>
      </c>
      <c r="H63" s="46" t="n">
        <f aca="false">Thresholds!D96+NPV(Thresholds!$C$99,Thresholds!$E$96:$N$96)</f>
        <v>0</v>
      </c>
      <c r="I63" s="46" t="n">
        <f aca="false">H63-G63</f>
        <v>0</v>
      </c>
      <c r="J63" s="54" t="n">
        <v>1E-005</v>
      </c>
      <c r="K63" s="40" t="str">
        <f aca="false">IF(ISERROR(I63),"FAIL",IF(ABS(I63)&lt;=J63,"PASS","FAIL"))</f>
        <v>PASS</v>
      </c>
    </row>
    <row r="64" customFormat="false" ht="30" hidden="false" customHeight="true" outlineLevel="0" collapsed="false">
      <c r="B64" s="43" t="n">
        <v>54</v>
      </c>
      <c r="C64" s="9" t="s">
        <v>164</v>
      </c>
      <c r="D64" s="9" t="s">
        <v>218</v>
      </c>
      <c r="E64" s="53" t="s">
        <v>252</v>
      </c>
      <c r="F64" s="44" t="s">
        <v>220</v>
      </c>
      <c r="G64" s="47" t="n">
        <v>0</v>
      </c>
      <c r="H64" s="46" t="n">
        <f aca="false">MIN(0,MIN(Thresholds!$D$70:$N$70))</f>
        <v>0</v>
      </c>
      <c r="I64" s="46" t="n">
        <f aca="false">H64-G64</f>
        <v>0</v>
      </c>
      <c r="J64" s="54" t="n">
        <v>0</v>
      </c>
      <c r="K64" s="40" t="str">
        <f aca="false">IF(ISERROR(I64),"FAIL",IF(ABS(I64)&lt;=J64,"PASS","FAIL"))</f>
        <v>PASS</v>
      </c>
    </row>
    <row r="65" customFormat="false" ht="30" hidden="false" customHeight="true" outlineLevel="0" collapsed="false">
      <c r="B65" s="43" t="n">
        <v>55</v>
      </c>
      <c r="C65" s="9" t="s">
        <v>164</v>
      </c>
      <c r="D65" s="9" t="s">
        <v>218</v>
      </c>
      <c r="E65" s="53" t="s">
        <v>253</v>
      </c>
      <c r="F65" s="44" t="s">
        <v>220</v>
      </c>
      <c r="G65" s="47" t="n">
        <v>0</v>
      </c>
      <c r="H65" s="46" t="n">
        <f aca="false">Thresholds!$C$99-Inputs!$C$45</f>
        <v>0</v>
      </c>
      <c r="I65" s="46" t="n">
        <f aca="false">H65-G65</f>
        <v>0</v>
      </c>
      <c r="J65" s="54" t="n">
        <v>1E-006</v>
      </c>
      <c r="K65" s="40" t="str">
        <f aca="false">IF(ISERROR(I65),"FAIL",IF(ABS(I65)&lt;=J65,"PASS","FAIL"))</f>
        <v>PASS</v>
      </c>
    </row>
    <row r="66" customFormat="false" ht="15" hidden="false" customHeight="true" outlineLevel="0" collapsed="false">
      <c r="B66" s="43" t="n">
        <v>56</v>
      </c>
      <c r="C66" s="9" t="s">
        <v>160</v>
      </c>
      <c r="D66" s="9" t="s">
        <v>218</v>
      </c>
      <c r="E66" s="53" t="s">
        <v>254</v>
      </c>
      <c r="F66" s="44" t="s">
        <v>220</v>
      </c>
      <c r="G66" s="47" t="n">
        <v>0</v>
      </c>
      <c r="H66" s="46" t="n">
        <f aca="false">Scenarios!$C$181-Scenarios!$C$271</f>
        <v>0</v>
      </c>
      <c r="I66" s="46" t="n">
        <f aca="false">H66-G66</f>
        <v>0</v>
      </c>
      <c r="J66" s="54" t="n">
        <v>1E-009</v>
      </c>
      <c r="K66" s="40" t="str">
        <f aca="false">IF(ISERROR(I66),"FAIL",IF(ABS(I66)&lt;=J66,"PASS","FAIL"))</f>
        <v>PASS</v>
      </c>
    </row>
  </sheetData>
  <mergeCells count="4">
    <mergeCell ref="C5:D5"/>
    <mergeCell ref="C6:D6"/>
    <mergeCell ref="C7:D7"/>
    <mergeCell ref="C8:D8"/>
  </mergeCells>
  <conditionalFormatting sqref="K11:K66">
    <cfRule type="cellIs" priority="2" operator="equal" aboveAverage="0" equalAverage="0" bottom="0" percent="0" rank="0" text="" dxfId="0">
      <formula>"FAIL"</formula>
    </cfRule>
  </conditionalFormatting>
  <conditionalFormatting sqref="E7">
    <cfRule type="cellIs" priority="3" operator="greaterThan" aboveAverage="0" equalAverage="0" bottom="0" percent="0" rank="0" text="" dxfId="0">
      <formula>0</formula>
    </cfRule>
  </conditionalFormatting>
  <conditionalFormatting sqref="E8">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2026-09-25T06:29:00Z</dcterms:created>
  <dc:creator>openpyxl</dc:creator>
  <dc:description/>
  <dc:language>en-US</dc:language>
  <cp:lastModifiedBy/>
  <dcterms:modified xsi:type="dcterms:W3CDTF">2026-09-25T06:29:00Z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