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ME" sheetId="1" state="visible" r:id="rId3"/>
    <sheet name="Inputs" sheetId="2" state="visible" r:id="rId4"/>
    <sheet name="Model" sheetId="3" state="visible" r:id="rId5"/>
    <sheet name="Debt" sheetId="4" state="visible" r:id="rId6"/>
    <sheet name="Scenarios" sheetId="5" state="visible" r:id="rId7"/>
    <sheet name="Valuation" sheetId="6" state="visible" r:id="rId8"/>
    <sheet name="Thresholds" sheetId="7" state="visible" r:id="rId9"/>
    <sheet name="Checks" sheetId="8" state="visible" r:id="rId10"/>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<sst xmlns="http://schemas.openxmlformats.org/spreadsheetml/2006/main" count="2273" uniqueCount="554">
  <si>
    <t xml:space="preserve">Halvard DC1: a 32 MW data center leased to one hyperscaler, with a 16 MW expansion waiting for the grid</t>
  </si>
  <si>
    <t xml:space="preserve">Companion workbook to The Digital Infrastructure Investor, by Julian R. Sterling. julianrsterling.com/digitalinfra</t>
  </si>
  <si>
    <t xml:space="preserve">What it covers</t>
  </si>
  <si>
    <t xml:space="preserve">The whole data center case of the book, year by year over ten years of ownership plus the forward year 11: capacity rent, the energy margin under the power clause, phase 2 and its grid connection, operations, management and reserves, NOI, capex, the exit, the unlevered IRR; the acquisition loan, the year-7 refinancing sized on DSCR and loan to value, the DSCR path, the equity cash flow, equity IRR and multiple. The same model is repeated for each outcome at lease end (renew, retrofit, relet, stranded) and for each stress (power +40%, grid delay of one and two years, chips early, exit cap +75 bp, PUE 1.30 with and without the shock). The valuation sheet sets three prices side by side; the thresholds sheet recomputes the case at each threshold the book prints.</t>
  </si>
  <si>
    <t xml:space="preserve">Where it is in the book</t>
  </si>
  <si>
    <t xml:space="preserve">Chapters 2 to 7 (lease, power, grid, chips, outcomes, price) and Chapter 15 (debt).</t>
  </si>
  <si>
    <t xml:space="preserve">Sheets</t>
  </si>
  <si>
    <t xml:space="preserve">Inputs: every assumption. Model: the base case (renew). Debt: loan, refinancing and equity flows for every case. Scenarios: the model with one assumption changed. Valuation: direct capitalization, DCF by outcome, platform multiple, what the lease pays back. Thresholds: one full case per threshold, with the target shown to be hit. Checks: every figure the book prints beside its live cell, and logic checks.</t>
  </si>
  <si>
    <t xml:space="preserve">Conventions</t>
  </si>
  <si>
    <t xml:space="preserve">Yellow cells with blue type are inputs; grey cells are formulas; navy rows are headers. Amounts in $ millions unless marked. Cash flows are annual, at year end; IRR is IRR() over the cash-flow row. No macros, no circular references, nothing locked, protected or hidden. Halvard DC1, its tenant and its lenders are fictional; every figure is the book's assumption, not a market statistic.</t>
  </si>
  <si>
    <t xml:space="preserve">The file is provided without warranty of any kind. It is a teaching model, not investment advice.</t>
  </si>
  <si>
    <t xml:space="preserve">Inputs: Halvard DC1 and its debt</t>
  </si>
  <si>
    <t xml:space="preserve">Yellow cells with blue type are inputs. Change one and every sheet follows. Amounts in $ millions unless marked.</t>
  </si>
  <si>
    <t xml:space="preserve">Phase 1: the lease (Chapter 2)</t>
  </si>
  <si>
    <t xml:space="preserve">Phase 1 contracted IT capacity</t>
  </si>
  <si>
    <t xml:space="preserve">MW</t>
  </si>
  <si>
    <t xml:space="preserve">Capacity rent, year 1</t>
  </si>
  <si>
    <t xml:space="preserve">$ per kW per month</t>
  </si>
  <si>
    <t xml:space="preserve">Fixed rent escalator</t>
  </si>
  <si>
    <t xml:space="preserve">a year</t>
  </si>
  <si>
    <t xml:space="preserve">Lease expires at the end of year</t>
  </si>
  <si>
    <t xml:space="preserve">year of ownership</t>
  </si>
  <si>
    <t xml:space="preserve">Landlord operations, phase 1, year 1</t>
  </si>
  <si>
    <t xml:space="preserve">$m, indexed</t>
  </si>
  <si>
    <t xml:space="preserve">Cost index (operations and reserves)</t>
  </si>
  <si>
    <t xml:space="preserve">Management, share of capacity rent</t>
  </si>
  <si>
    <t xml:space="preserve">Major-repair reserve, phase 1, year 1</t>
  </si>
  <si>
    <t xml:space="preserve">Phase 1: power (Chapter 3)</t>
  </si>
  <si>
    <t xml:space="preserve">Average IT load, share of contracted capacity</t>
  </si>
  <si>
    <t xml:space="preserve">Contract PUE cap (the tenant pays energy up to it)</t>
  </si>
  <si>
    <t xml:space="preserve">Actual PUE of phase 1</t>
  </si>
  <si>
    <t xml:space="preserve">Energy tariff billed to the tenant, year 1</t>
  </si>
  <si>
    <t xml:space="preserve">$ per MWh</t>
  </si>
  <si>
    <t xml:space="preserve">Tariff escalator</t>
  </si>
  <si>
    <t xml:space="preserve">Landlord supply contract, fixed price</t>
  </si>
  <si>
    <t xml:space="preserve">Fixed supply contract runs to the end of year</t>
  </si>
  <si>
    <t xml:space="preserve">Assumed market price in year 5</t>
  </si>
  <si>
    <t xml:space="preserve">Market price escalator</t>
  </si>
  <si>
    <t xml:space="preserve">Market price shock, base case</t>
  </si>
  <si>
    <t xml:space="preserve">0 in the base case</t>
  </si>
  <si>
    <t xml:space="preserve">Shock applies from year</t>
  </si>
  <si>
    <t xml:space="preserve">New leases: pass-through fee on energy</t>
  </si>
  <si>
    <t xml:space="preserve">Phase 2 and the grid (Chapter 4)</t>
  </si>
  <si>
    <t xml:space="preserve">Phase 2 IT capacity</t>
  </si>
  <si>
    <t xml:space="preserve">Construction cost</t>
  </si>
  <si>
    <t xml:space="preserve">$m per MW, half in year 1, half in year 2</t>
  </si>
  <si>
    <t xml:space="preserve">Energization year, base case</t>
  </si>
  <si>
    <t xml:space="preserve">Energization year scheduled by the utility</t>
  </si>
  <si>
    <t xml:space="preserve">Pre-lease rent in the energization year</t>
  </si>
  <si>
    <t xml:space="preserve">Free rent per month of delay</t>
  </si>
  <si>
    <t xml:space="preserve">months, capped at 12</t>
  </si>
  <si>
    <t xml:space="preserve">Cost of each year of delay, share of the phase 2 budget</t>
  </si>
  <si>
    <t xml:space="preserve">paid in year 2</t>
  </si>
  <si>
    <t xml:space="preserve">Actual PUE of phase 2 (liquid cooling)</t>
  </si>
  <si>
    <t xml:space="preserve">Phase 2 operations (year-1 value, indexed)</t>
  </si>
  <si>
    <t xml:space="preserve">$m from energization</t>
  </si>
  <si>
    <t xml:space="preserve">Phase 2 reserve (year-1 value, indexed)</t>
  </si>
  <si>
    <t xml:space="preserve">What happens at lease end (Chapters 5 and 6)</t>
  </si>
  <si>
    <t xml:space="preserve">Base case outcome</t>
  </si>
  <si>
    <t xml:space="preserve">renew</t>
  </si>
  <si>
    <t xml:space="preserve">renew, retrofit, relet or stranded</t>
  </si>
  <si>
    <t xml:space="preserve">Renew: rent reset, share of passing rent</t>
  </si>
  <si>
    <t xml:space="preserve">Renew: refresh capex in year 9</t>
  </si>
  <si>
    <t xml:space="preserve">$m per MW</t>
  </si>
  <si>
    <t xml:space="preserve">Retrofit: liquid-cooling conversion in year 9</t>
  </si>
  <si>
    <t xml:space="preserve">Retrofit: new lease rent from year 10</t>
  </si>
  <si>
    <t xml:space="preserve">Retrofit: PUE</t>
  </si>
  <si>
    <t xml:space="preserve">Retrofit: operations in year 9, share of normal</t>
  </si>
  <si>
    <t xml:space="preserve">halls empty</t>
  </si>
  <si>
    <t xml:space="preserve">Relet: colocation rent (year-10 level)</t>
  </si>
  <si>
    <t xml:space="preserve">Relet: occupancy, year 9</t>
  </si>
  <si>
    <t xml:space="preserve">Relet: occupancy, year 10</t>
  </si>
  <si>
    <t xml:space="preserve">Relet: occupancy, year 11 onward</t>
  </si>
  <si>
    <t xml:space="preserve">Relet: PUE</t>
  </si>
  <si>
    <t xml:space="preserve">Relet: operations multiplier (several tenants)</t>
  </si>
  <si>
    <t xml:space="preserve">x</t>
  </si>
  <si>
    <t xml:space="preserve">Relet: fit-out in year 9</t>
  </si>
  <si>
    <t xml:space="preserve">Stranded: mothballed costs, share of normal</t>
  </si>
  <si>
    <t xml:space="preserve">Stranded: powered land value</t>
  </si>
  <si>
    <t xml:space="preserve">$m per MW of phase 1</t>
  </si>
  <si>
    <t xml:space="preserve">Stranded: demolition</t>
  </si>
  <si>
    <t xml:space="preserve">$m</t>
  </si>
  <si>
    <t xml:space="preserve">Chips early: tenant load falls from year</t>
  </si>
  <si>
    <t xml:space="preserve">scenario setting</t>
  </si>
  <si>
    <t xml:space="preserve">Chips early: phase 1 IT load after the fall</t>
  </si>
  <si>
    <t xml:space="preserve">Chips early: partial-load PUE after the fall</t>
  </si>
  <si>
    <t xml:space="preserve">Price, exit and valuation (Chapter 7)</t>
  </si>
  <si>
    <t xml:space="preserve">Purchase price</t>
  </si>
  <si>
    <t xml:space="preserve">Transaction costs, share of price</t>
  </si>
  <si>
    <t xml:space="preserve">Exit costs, share of gross exit value</t>
  </si>
  <si>
    <t xml:space="preserve">Exit cap rate, renew</t>
  </si>
  <si>
    <t xml:space="preserve">on year-11 NOI</t>
  </si>
  <si>
    <t xml:space="preserve">Exit cap rate, retrofit</t>
  </si>
  <si>
    <t xml:space="preserve">Exit cap rate, relet</t>
  </si>
  <si>
    <t xml:space="preserve">Exit cap rate, stranded (phase 2)</t>
  </si>
  <si>
    <t xml:space="preserve">Exit cap rate shift, base case</t>
  </si>
  <si>
    <t xml:space="preserve">DCF discount rate</t>
  </si>
  <si>
    <t xml:space="preserve">assumption</t>
  </si>
  <si>
    <t xml:space="preserve">Market cap rate for direct capitalization</t>
  </si>
  <si>
    <t xml:space="preserve">Listed platform EBITDA multiple</t>
  </si>
  <si>
    <t xml:space="preserve">x, assumption</t>
  </si>
  <si>
    <t xml:space="preserve">Acquisition loan and refinancing (Chapter 15)</t>
  </si>
  <si>
    <t xml:space="preserve">Loan to price</t>
  </si>
  <si>
    <t xml:space="preserve">Fixed rate</t>
  </si>
  <si>
    <t xml:space="preserve">Interest-only years</t>
  </si>
  <si>
    <t xml:space="preserve">Amortization schedule after interest only</t>
  </si>
  <si>
    <t xml:space="preserve">years</t>
  </si>
  <si>
    <t xml:space="preserve">Maturity, end of year</t>
  </si>
  <si>
    <t xml:space="preserve">Loan fee (acquisition and refinancing)</t>
  </si>
  <si>
    <t xml:space="preserve">Refinancing rate</t>
  </si>
  <si>
    <t xml:space="preserve">Refinancing sizing DSCR</t>
  </si>
  <si>
    <t xml:space="preserve">Refinancing loan to value</t>
  </si>
  <si>
    <t xml:space="preserve">Refinancing amortization if a new long lease is signed</t>
  </si>
  <si>
    <t xml:space="preserve">Refinancing amortization otherwise (phase 2 lease to year 14)</t>
  </si>
  <si>
    <t xml:space="preserve">Cash lock-up DSCR</t>
  </si>
  <si>
    <t xml:space="preserve">Default DSCR</t>
  </si>
  <si>
    <t xml:space="preserve">Scenario settings (Chapters 3, 4 and 7)</t>
  </si>
  <si>
    <t xml:space="preserve">Power shock tested</t>
  </si>
  <si>
    <t xml:space="preserve">from the shock year</t>
  </si>
  <si>
    <t xml:space="preserve">Grid delay: energization one year late</t>
  </si>
  <si>
    <t xml:space="preserve">year</t>
  </si>
  <si>
    <t xml:space="preserve">Grid delay: energization two years late</t>
  </si>
  <si>
    <t xml:space="preserve">Exit cap rate shift tested</t>
  </si>
  <si>
    <t xml:space="preserve">+75 bp</t>
  </si>
  <si>
    <t xml:space="preserve">Phase 1 PUE tested</t>
  </si>
  <si>
    <t xml:space="preserve">the contract cap</t>
  </si>
  <si>
    <t xml:space="preserve">The fund's equity IRR target</t>
  </si>
  <si>
    <t xml:space="preserve">Halvard DC1: the annual model, base case (renew at lease end)</t>
  </si>
  <si>
    <t xml:space="preserve">Chapters 2 to 4 and 6. Every line is a live formula on Inputs. The block's parameter column reads Inputs; the Scenarios sheet repeats the block with one parameter changed.</t>
  </si>
  <si>
    <t xml:space="preserve">Base case: renew at lease end</t>
  </si>
  <si>
    <t xml:space="preserve">Phase 1 outcome at lease end (renew, retrofit, relet or stranded)</t>
  </si>
  <si>
    <t xml:space="preserve">Market power price shock from the shock year</t>
  </si>
  <si>
    <t xml:space="preserve">Phase 2 energization year</t>
  </si>
  <si>
    <t xml:space="preserve">Tenant load falls from year (0 = never)</t>
  </si>
  <si>
    <t xml:space="preserve">Phase 1 IT load after the fall</t>
  </si>
  <si>
    <t xml:space="preserve">Phase 1 partial-load PUE after the fall</t>
  </si>
  <si>
    <t xml:space="preserve">Exit cap rate shift</t>
  </si>
  <si>
    <t xml:space="preserve">Renewal rent reset, share of passing rent</t>
  </si>
  <si>
    <t xml:space="preserve">Re-let colocation rent, $ per kW per month (year 10)</t>
  </si>
  <si>
    <t xml:space="preserve">Purchase price, $m</t>
  </si>
  <si>
    <t xml:space="preserve">Phase 1 passing rent in the last lease year, $m</t>
  </si>
  <si>
    <t xml:space="preserve">Year of ownership ($m unless marked)</t>
  </si>
  <si>
    <t xml:space="preserve">Landlord supply price, $ per MWh</t>
  </si>
  <si>
    <t xml:space="preserve">Tariff billed to the tenant, $ per MWh</t>
  </si>
  <si>
    <t xml:space="preserve">Cost index</t>
  </si>
  <si>
    <t xml:space="preserve">Phase 1 IT load, share of capacity</t>
  </si>
  <si>
    <t xml:space="preserve">Phase 1 PUE</t>
  </si>
  <si>
    <t xml:space="preserve">Phase 1 halls in service (occupancy)</t>
  </si>
  <si>
    <t xml:space="preserve">Phase 1 IT energy, MWh</t>
  </si>
  <si>
    <t xml:space="preserve">Phase 1 capacity rent</t>
  </si>
  <si>
    <t xml:space="preserve">Phase 1 energy margin</t>
  </si>
  <si>
    <t xml:space="preserve">Phase 1 operations</t>
  </si>
  <si>
    <t xml:space="preserve">Phase 2 capacity rent</t>
  </si>
  <si>
    <t xml:space="preserve">Phase 2 IT energy, MWh</t>
  </si>
  <si>
    <t xml:space="preserve">Phase 2 energy fee</t>
  </si>
  <si>
    <t xml:space="preserve">Phase 2 operations</t>
  </si>
  <si>
    <t xml:space="preserve">Management</t>
  </si>
  <si>
    <t xml:space="preserve">NOI</t>
  </si>
  <si>
    <t xml:space="preserve">Major-repair reserve</t>
  </si>
  <si>
    <t xml:space="preserve">Phase 2 construction</t>
  </si>
  <si>
    <t xml:space="preserve">Lease-end capex (refresh, retrofit or fit-out)</t>
  </si>
  <si>
    <t xml:space="preserve">Cash flow before exit (NOI less reserve and capex)</t>
  </si>
  <si>
    <t xml:space="preserve">Year 11 is the forward year: its NOI sets the exit value at the end of year 10.</t>
  </si>
  <si>
    <t xml:space="preserve">Exit cap rate (outcome rate plus shift)</t>
  </si>
  <si>
    <t xml:space="preserve">Year-11 phase 2 NOI</t>
  </si>
  <si>
    <t xml:space="preserve">Year-11 phase 1 NOI (site costs if stranded)</t>
  </si>
  <si>
    <t xml:space="preserve">Stranded: powered land less demolition</t>
  </si>
  <si>
    <t xml:space="preserve">Gross exit value</t>
  </si>
  <si>
    <t xml:space="preserve">Net exit value (after exit costs)</t>
  </si>
  <si>
    <t xml:space="preserve">Entry cost (price plus transaction costs)</t>
  </si>
  <si>
    <t xml:space="preserve">Unlevered cash flow</t>
  </si>
  <si>
    <t xml:space="preserve">Unlevered cash flow (entry, operations, exit)</t>
  </si>
  <si>
    <t xml:space="preserve">Unlevered IRR, IRR() over the row</t>
  </si>
  <si>
    <t xml:space="preserve">PUE gap cost, year 1 (MWh x PUE gap x fixed price), $m</t>
  </si>
  <si>
    <t xml:space="preserve">Phase 2 construction budget, $m</t>
  </si>
  <si>
    <t xml:space="preserve">Powered land, phase 1, $m</t>
  </si>
  <si>
    <t xml:space="preserve">Retrofit of phase 1 to liquid cooling, $m</t>
  </si>
  <si>
    <t xml:space="preserve">Debt: the acquisition loan, the year-7 refinancing and the equity cash flow (Chapter 15)</t>
  </si>
  <si>
    <t xml:space="preserve">One block per case. The new lender sizes on the lower of the DSCR and the loan to value; without a new long lease it counts only phase 2.</t>
  </si>
  <si>
    <t xml:space="preserve">Base case: renew at lease end: debt and equity</t>
  </si>
  <si>
    <t xml:space="preserve">Acquisition loan</t>
  </si>
  <si>
    <t xml:space="preserve">Annual payment once amortization starts</t>
  </si>
  <si>
    <t xml:space="preserve">Balloon at maturity (balance after the amortizing years)</t>
  </si>
  <si>
    <t xml:space="preserve">New long lease signed before the refinancing (1 = yes, renew only)</t>
  </si>
  <si>
    <t xml:space="preserve">Refinancing amortization, years</t>
  </si>
  <si>
    <t xml:space="preserve">NOI the new lender counts (year after maturity, less reserve)</t>
  </si>
  <si>
    <t xml:space="preserve">Debt service the DSCR allows</t>
  </si>
  <si>
    <t xml:space="preserve">Loan sized by DSCR</t>
  </si>
  <si>
    <t xml:space="preserve">Value at refinancing (NOI / exit cap rate)</t>
  </si>
  <si>
    <t xml:space="preserve">Loan sized by loan to value</t>
  </si>
  <si>
    <t xml:space="preserve">New loan (the lower of the two)</t>
  </si>
  <si>
    <t xml:space="preserve">Refinancing cash to equity (negative: equity pays down)</t>
  </si>
  <si>
    <t xml:space="preserve">Annual payment on the new loan</t>
  </si>
  <si>
    <t xml:space="preserve">Debt schedule</t>
  </si>
  <si>
    <t xml:space="preserve">Opening balance</t>
  </si>
  <si>
    <t xml:space="preserve">Interest rate</t>
  </si>
  <si>
    <t xml:space="preserve">Interest</t>
  </si>
  <si>
    <t xml:space="preserve">Principal</t>
  </si>
  <si>
    <t xml:space="preserve">Closing balance</t>
  </si>
  <si>
    <t xml:space="preserve">Debt service</t>
  </si>
  <si>
    <t xml:space="preserve">DSCR: (NOI less reserve) / debt service</t>
  </si>
  <si>
    <t xml:space="preserve">Lowest DSCR, years 5 to 7 (lock-up test)</t>
  </si>
  <si>
    <t xml:space="preserve">Equity cash flow</t>
  </si>
  <si>
    <t xml:space="preserve">Debt cash flow (loan, service, refinancing, repayment)</t>
  </si>
  <si>
    <t xml:space="preserve">Equity IRR, IRR() over the row</t>
  </si>
  <si>
    <t xml:space="preserve">Equity multiple (money back / money in)</t>
  </si>
  <si>
    <t xml:space="preserve">Equity at purchase</t>
  </si>
  <si>
    <t xml:space="preserve">Outcome: retrofit to liquid cooling and a new lease: debt and equity</t>
  </si>
  <si>
    <t xml:space="preserve">Outcome: the tenant leaves, re-let to colocation customers: debt and equity</t>
  </si>
  <si>
    <t xml:space="preserve">Outcome: stranded (nobody takes the halls): debt and equity</t>
  </si>
  <si>
    <t xml:space="preserve">Power price +40% from year 5: debt and equity</t>
  </si>
  <si>
    <t xml:space="preserve">Grid delay: phase 2 energized in year 4: debt and equity</t>
  </si>
  <si>
    <t xml:space="preserve">Grid delay: phase 2 energized in year 5: debt and equity</t>
  </si>
  <si>
    <t xml:space="preserve">Chips early: load falls from year 5, stranded at lease end: debt and equity</t>
  </si>
  <si>
    <t xml:space="preserve">Exit cap rate +75 bp: debt and equity</t>
  </si>
  <si>
    <t xml:space="preserve">Phase 1 at its contract PUE of 1.30: debt and equity</t>
  </si>
  <si>
    <t xml:space="preserve">PUE 1.30 with the +40% power shock: debt and equity</t>
  </si>
  <si>
    <t xml:space="preserve">Power +40% and exit cap rate +75 bp (the portfolio's combined case): debt and equity</t>
  </si>
  <si>
    <t xml:space="preserve">Equity needed at the year-7 refinancing without renewal (relet case)</t>
  </si>
  <si>
    <t xml:space="preserve">Scenarios: the same annual model with one assumption changed</t>
  </si>
  <si>
    <t xml:space="preserve">Outcomes at lease end (Chapter 6), power (Chapter 3), grid delay (Chapter 4), chips early (Chapter 5), exit cap rate (Chapter 7). Debt and equity for each block are on the Debt sheet.</t>
  </si>
  <si>
    <t xml:space="preserve">Outcome: retrofit to liquid cooling and a new lease</t>
  </si>
  <si>
    <t xml:space="preserve">retrofit</t>
  </si>
  <si>
    <t xml:space="preserve">Outcome: the tenant leaves, re-let to colocation customers</t>
  </si>
  <si>
    <t xml:space="preserve">relet</t>
  </si>
  <si>
    <t xml:space="preserve">Outcome: stranded (nobody takes the halls)</t>
  </si>
  <si>
    <t xml:space="preserve">stranded</t>
  </si>
  <si>
    <t xml:space="preserve">Power price +40% from year 5</t>
  </si>
  <si>
    <t xml:space="preserve">Grid delay: phase 2 energized in year 4</t>
  </si>
  <si>
    <t xml:space="preserve">Grid delay: phase 2 energized in year 5</t>
  </si>
  <si>
    <t xml:space="preserve">Chips early: load falls from year 5, stranded at lease end</t>
  </si>
  <si>
    <t xml:space="preserve">Exit cap rate +75 bp</t>
  </si>
  <si>
    <t xml:space="preserve">Phase 1 at its contract PUE of 1.30</t>
  </si>
  <si>
    <t xml:space="preserve">PUE 1.30 with the +40% power shock</t>
  </si>
  <si>
    <t xml:space="preserve">Power +40% and exit cap rate +75 bp (the portfolio's combined case)</t>
  </si>
  <si>
    <t xml:space="preserve">Valuation: three prices for one building (Chapter 7) and what the lease covers (Chapter 6)</t>
  </si>
  <si>
    <t xml:space="preserve">Direct capitalization, DCF at the discount rate by outcome, and a listed platform multiple. All on live model rows.</t>
  </si>
  <si>
    <t xml:space="preserve">Direct capitalization and the platform multiple</t>
  </si>
  <si>
    <t xml:space="preserve">Year-1 NOI (base)</t>
  </si>
  <si>
    <t xml:space="preserve">Going-in cap rate (year-1 NOI / price)</t>
  </si>
  <si>
    <t xml:space="preserve">Direct capitalization on year-1 NOI at the market cap rate</t>
  </si>
  <si>
    <t xml:space="preserve">Stabilized NOI (year 3, phase 2 in service)</t>
  </si>
  <si>
    <t xml:space="preserve">Direct capitalization on year-3 NOI less the phase 2 cost to spend</t>
  </si>
  <si>
    <t xml:space="preserve">Platform multiple x year-3 NOI less the phase 2 cost to spend</t>
  </si>
  <si>
    <t xml:space="preserve">DCF at the discount rate: unlevered flows of years 1 to 10, exit included, by outcome</t>
  </si>
  <si>
    <t xml:space="preserve">DCF, renew</t>
  </si>
  <si>
    <t xml:space="preserve">DCF, retrofit</t>
  </si>
  <si>
    <t xml:space="preserve">DCF, relet</t>
  </si>
  <si>
    <t xml:space="preserve">DCF, stranded</t>
  </si>
  <si>
    <t xml:space="preserve">What the signed lease pays back: phase 1 NOI less its reserve over the remaining lease, at the discount rate</t>
  </si>
  <si>
    <t xml:space="preserve">Year</t>
  </si>
  <si>
    <t xml:space="preserve">In the lease (1 = yes)</t>
  </si>
  <si>
    <t xml:space="preserve">Phase 1 NOI less reserve</t>
  </si>
  <si>
    <t xml:space="preserve">Discount factor</t>
  </si>
  <si>
    <t xml:space="preserve">Present value while in the lease</t>
  </si>
  <si>
    <t xml:space="preserve">Present value of the lease</t>
  </si>
  <si>
    <t xml:space="preserve">Share of the price the signed lease pays back</t>
  </si>
  <si>
    <t xml:space="preserve">Thresholds: the value at which the answer changes</t>
  </si>
  <si>
    <t xml:space="preserve">Each block holds the model's threshold in a yellow input and recomputes the whole case with it: the target line shows the target is hit. Change the input to see the answer move.</t>
  </si>
  <si>
    <t xml:space="preserve">Threshold: Power shock at which the year-5 energy margin reaches zero</t>
  </si>
  <si>
    <t xml:space="preserve">Power shock at which the year-5 energy margin reaches zero</t>
  </si>
  <si>
    <t xml:space="preserve">threshold input: the model's value, change it to test</t>
  </si>
  <si>
    <t xml:space="preserve">Target: Year-5 phase 1 energy margin</t>
  </si>
  <si>
    <t xml:space="preserve">Recomputed with the threshold: Year-5 phase 1 energy margin</t>
  </si>
  <si>
    <t xml:space="preserve">Gap (recomputed less target)</t>
  </si>
  <si>
    <t xml:space="preserve">Target hit</t>
  </si>
  <si>
    <t xml:space="preserve">Threshold: Power shock at which equity IRR falls to the 10% target</t>
  </si>
  <si>
    <t xml:space="preserve">Power shock at which equity IRR falls to the 10% target</t>
  </si>
  <si>
    <t xml:space="preserve">Target: Equity IRR</t>
  </si>
  <si>
    <t xml:space="preserve">Recomputed with the threshold: Equity IRR</t>
  </si>
  <si>
    <t xml:space="preserve">Threshold: Power shock at which the lowest DSCR of years 5 to 7 reaches the lock-up</t>
  </si>
  <si>
    <t xml:space="preserve">Power shock at which the lowest DSCR of years 5 to 7 reaches the lock-up</t>
  </si>
  <si>
    <t xml:space="preserve">Target: Lowest DSCR, years 5 to 7</t>
  </si>
  <si>
    <t xml:space="preserve">Recomputed with the threshold: Lowest DSCR, years 5 to 7</t>
  </si>
  <si>
    <t xml:space="preserve">Threshold: Renewal rent reset at which equity IRR falls to 10%</t>
  </si>
  <si>
    <t xml:space="preserve">Renewal rent reset at which equity IRR falls to 10%</t>
  </si>
  <si>
    <t xml:space="preserve">Threshold: Relet: colocation rent needed for a 10% equity IRR ($ per kW per month)</t>
  </si>
  <si>
    <t xml:space="preserve">Relet: colocation rent needed for a 10% equity IRR ($ per kW per month)</t>
  </si>
  <si>
    <t xml:space="preserve">Threshold: Renew: exit cap rate at which equity IRR falls to 10%</t>
  </si>
  <si>
    <t xml:space="preserve">Renew: exit cap rate at which equity IRR falls to 10%</t>
  </si>
  <si>
    <t xml:space="preserve">Threshold: Renew: highest price that still earns 10% on equity ($m)</t>
  </si>
  <si>
    <t xml:space="preserve">Renew: highest price that still earns 10% on equity ($m)</t>
  </si>
  <si>
    <t xml:space="preserve">Threshold: Relet: price at which even the relet outcome earns 10% ($m)</t>
  </si>
  <si>
    <t xml:space="preserve">Relet: price at which even the relet outcome earns 10% ($m)</t>
  </si>
  <si>
    <t xml:space="preserve">Checks: the figures printed in the book against the live workbook</t>
  </si>
  <si>
    <t xml:space="preserve">Printed = the figure as printed in the book (facts.json, from the model). Gap = workbook minus printed value. Tolerance = half a unit of the last printed digit. The logic checks at the end test that the model holds together.</t>
  </si>
  <si>
    <t xml:space="preserve">Number of checks</t>
  </si>
  <si>
    <t xml:space="preserve">PASS</t>
  </si>
  <si>
    <t xml:space="preserve">FAIL (an error value counts as FAIL)</t>
  </si>
  <si>
    <t xml:space="preserve">Overall status</t>
  </si>
  <si>
    <t xml:space="preserve">#</t>
  </si>
  <si>
    <t xml:space="preserve">Sheet</t>
  </si>
  <si>
    <t xml:space="preserve">Key</t>
  </si>
  <si>
    <t xml:space="preserve">Figure printed in the book, or logic check</t>
  </si>
  <si>
    <t xml:space="preserve">Printed</t>
  </si>
  <si>
    <t xml:space="preserve">Printed value</t>
  </si>
  <si>
    <t xml:space="preserve">Workbook</t>
  </si>
  <si>
    <t xml:space="preserve">Gap</t>
  </si>
  <si>
    <t xml:space="preserve">Tolerance</t>
  </si>
  <si>
    <t xml:space="preserve">Status</t>
  </si>
  <si>
    <t xml:space="preserve">Model</t>
  </si>
  <si>
    <t xml:space="preserve">dc_rent1_y1</t>
  </si>
  <si>
    <t xml:space="preserve">Year-1 phase 1 capacity rent</t>
  </si>
  <si>
    <t xml:space="preserve">$52.99 million</t>
  </si>
  <si>
    <t xml:space="preserve">dc_rent1_y8</t>
  </si>
  <si>
    <t xml:space="preserve">Year-8 phase 1 capacity rent</t>
  </si>
  <si>
    <t xml:space="preserve">$60.87 million</t>
  </si>
  <si>
    <t xml:space="preserve">dc_mwh</t>
  </si>
  <si>
    <t xml:space="preserve">Phase 1 IT energy a year, MWh</t>
  </si>
  <si>
    <t xml:space="preserve">224,256</t>
  </si>
  <si>
    <t xml:space="preserve">dc_em1</t>
  </si>
  <si>
    <t xml:space="preserve">Year-1 energy margin</t>
  </si>
  <si>
    <t xml:space="preserve">$2.42 million</t>
  </si>
  <si>
    <t xml:space="preserve">dc_gapcost</t>
  </si>
  <si>
    <t xml:space="preserve">Cost of the PUE gap, year 1</t>
  </si>
  <si>
    <t xml:space="preserve">$1.37 million</t>
  </si>
  <si>
    <t xml:space="preserve">dc_cost2</t>
  </si>
  <si>
    <t xml:space="preserve">Phase 2 construction budget</t>
  </si>
  <si>
    <t xml:space="preserve">$168 million</t>
  </si>
  <si>
    <t xml:space="preserve">dc_rent2_y3</t>
  </si>
  <si>
    <t xml:space="preserve">Year-3 phase 2 rent</t>
  </si>
  <si>
    <t xml:space="preserve">$29.18 million</t>
  </si>
  <si>
    <t xml:space="preserve">dc_land</t>
  </si>
  <si>
    <t xml:space="preserve">Powered land, phase 1</t>
  </si>
  <si>
    <t xml:space="preserve">$51.2 million</t>
  </si>
  <si>
    <t xml:space="preserve">dc_retro</t>
  </si>
  <si>
    <t xml:space="preserve">Retrofit cost, phase 1</t>
  </si>
  <si>
    <t xml:space="preserve">$83.2 million</t>
  </si>
  <si>
    <t xml:space="preserve">Debt</t>
  </si>
  <si>
    <t xml:space="preserve">dc_eirr_base</t>
  </si>
  <si>
    <t xml:space="preserve">Equity IRR, base case</t>
  </si>
  <si>
    <t xml:space="preserve">10.23%</t>
  </si>
  <si>
    <t xml:space="preserve">dc_eirr_power</t>
  </si>
  <si>
    <t xml:space="preserve">Equity IRR, power +40%</t>
  </si>
  <si>
    <t xml:space="preserve">7.77%</t>
  </si>
  <si>
    <t xml:space="preserve">dc_dscr_shock</t>
  </si>
  <si>
    <t xml:space="preserve">Lowest DSCR years 5 to 7 under the power shock</t>
  </si>
  <si>
    <t xml:space="preserve">1.88x</t>
  </si>
  <si>
    <t xml:space="preserve">dc_eirr_pue130</t>
  </si>
  <si>
    <t xml:space="preserve">Equity IRR at PUE 1.30</t>
  </si>
  <si>
    <t xml:space="preserve">10.75%</t>
  </si>
  <si>
    <t xml:space="preserve">dc_eirr_grid</t>
  </si>
  <si>
    <t xml:space="preserve">Equity IRR, energized two years late</t>
  </si>
  <si>
    <t xml:space="preserve">8.16%</t>
  </si>
  <si>
    <t xml:space="preserve">dc_eirr_grid1</t>
  </si>
  <si>
    <t xml:space="preserve">Equity IRR, energized one year late</t>
  </si>
  <si>
    <t xml:space="preserve">9.14%</t>
  </si>
  <si>
    <t xml:space="preserve">Scenarios</t>
  </si>
  <si>
    <t xml:space="preserve">dc_uirr_grid1</t>
  </si>
  <si>
    <t xml:space="preserve">Unlevered IRR, energized one year late</t>
  </si>
  <si>
    <t xml:space="preserve">7.90%</t>
  </si>
  <si>
    <t xml:space="preserve">dc_eirr_chips</t>
  </si>
  <si>
    <t xml:space="preserve">Equity IRR, chips early</t>
  </si>
  <si>
    <t xml:space="preserve">-3.19%</t>
  </si>
  <si>
    <t xml:space="preserve">dc_eirr_rates</t>
  </si>
  <si>
    <t xml:space="preserve">Equity IRR, exit cap +75 bp</t>
  </si>
  <si>
    <t xml:space="preserve">8.70%</t>
  </si>
  <si>
    <t xml:space="preserve">dc_eirr_renew</t>
  </si>
  <si>
    <t xml:space="preserve">Equity IRR, renew</t>
  </si>
  <si>
    <t xml:space="preserve">dc_uirr_renew</t>
  </si>
  <si>
    <t xml:space="preserve">Unlevered IRR, renew</t>
  </si>
  <si>
    <t xml:space="preserve">8.49%</t>
  </si>
  <si>
    <t xml:space="preserve">dc_exit_renew</t>
  </si>
  <si>
    <t xml:space="preserve">Net exit value, renew</t>
  </si>
  <si>
    <t xml:space="preserve">$1,338.4 million</t>
  </si>
  <si>
    <t xml:space="preserve">dc_refi_renew</t>
  </si>
  <si>
    <t xml:space="preserve">Refinancing cash to equity, renew</t>
  </si>
  <si>
    <t xml:space="preserve">$221.8 million</t>
  </si>
  <si>
    <t xml:space="preserve">dc_eirr_retrofit</t>
  </si>
  <si>
    <t xml:space="preserve">Equity IRR, retrofit</t>
  </si>
  <si>
    <t xml:space="preserve">10.69%</t>
  </si>
  <si>
    <t xml:space="preserve">dc_uirr_retrofit</t>
  </si>
  <si>
    <t xml:space="preserve">Unlevered IRR, retrofit</t>
  </si>
  <si>
    <t xml:space="preserve">9.16%</t>
  </si>
  <si>
    <t xml:space="preserve">dc_exit_retrofit</t>
  </si>
  <si>
    <t xml:space="preserve">Net exit value, retrofit</t>
  </si>
  <si>
    <t xml:space="preserve">$1,585.4 million</t>
  </si>
  <si>
    <t xml:space="preserve">dc_refi_retrofit</t>
  </si>
  <si>
    <t xml:space="preserve">Refinancing cash to equity, retrofit</t>
  </si>
  <si>
    <t xml:space="preserve">-$328.9 million</t>
  </si>
  <si>
    <t xml:space="preserve">dc_eirr_relet</t>
  </si>
  <si>
    <t xml:space="preserve">Equity IRR, relet</t>
  </si>
  <si>
    <t xml:space="preserve">3.56%</t>
  </si>
  <si>
    <t xml:space="preserve">dc_uirr_relet</t>
  </si>
  <si>
    <t xml:space="preserve">Unlevered IRR, relet</t>
  </si>
  <si>
    <t xml:space="preserve">4.62%</t>
  </si>
  <si>
    <t xml:space="preserve">dc_exit_relet</t>
  </si>
  <si>
    <t xml:space="preserve">Net exit value, relet</t>
  </si>
  <si>
    <t xml:space="preserve">$891.2 million</t>
  </si>
  <si>
    <t xml:space="preserve">dc_refi_relet</t>
  </si>
  <si>
    <t xml:space="preserve">Refinancing cash to equity, relet</t>
  </si>
  <si>
    <t xml:space="preserve">dc_eirr_stranded</t>
  </si>
  <si>
    <t xml:space="preserve">Equity IRR, stranded</t>
  </si>
  <si>
    <t xml:space="preserve">-2.98%</t>
  </si>
  <si>
    <t xml:space="preserve">dc_uirr_stranded</t>
  </si>
  <si>
    <t xml:space="preserve">Unlevered IRR, stranded</t>
  </si>
  <si>
    <t xml:space="preserve">1.16%</t>
  </si>
  <si>
    <t xml:space="preserve">dc_exit_stranded</t>
  </si>
  <si>
    <t xml:space="preserve">Net exit value, stranded</t>
  </si>
  <si>
    <t xml:space="preserve">$529.5 million</t>
  </si>
  <si>
    <t xml:space="preserve">dc_refi_stranded</t>
  </si>
  <si>
    <t xml:space="preserve">Refinancing cash to equity, stranded</t>
  </si>
  <si>
    <t xml:space="preserve">Valuation</t>
  </si>
  <si>
    <t xml:space="preserve">dc_pv_lease</t>
  </si>
  <si>
    <t xml:space="preserve">Present value of phase 1 NOI during the lease</t>
  </si>
  <si>
    <t xml:space="preserve">$308.2 million</t>
  </si>
  <si>
    <t xml:space="preserve">dc_cover</t>
  </si>
  <si>
    <t xml:space="preserve">Share of the price the lease pays back</t>
  </si>
  <si>
    <t xml:space="preserve">34.2%</t>
  </si>
  <si>
    <t xml:space="preserve">Inputs</t>
  </si>
  <si>
    <t xml:space="preserve">dc_price</t>
  </si>
  <si>
    <t xml:space="preserve">$900 million</t>
  </si>
  <si>
    <t xml:space="preserve">dc_noi1</t>
  </si>
  <si>
    <t xml:space="preserve">Year-1 NOI</t>
  </si>
  <si>
    <t xml:space="preserve">$50.8 million</t>
  </si>
  <si>
    <t xml:space="preserve">dc_goingin</t>
  </si>
  <si>
    <t xml:space="preserve">Going-in cap rate</t>
  </si>
  <si>
    <t xml:space="preserve">5.64%</t>
  </si>
  <si>
    <t xml:space="preserve">dc_direct</t>
  </si>
  <si>
    <t xml:space="preserve">Direct capitalization, year-1 NOI</t>
  </si>
  <si>
    <t xml:space="preserve">$923.3 million</t>
  </si>
  <si>
    <t xml:space="preserve">dc_direct_stab</t>
  </si>
  <si>
    <t xml:space="preserve">Direct capitalization, stabilized NOI less phase 2 cost</t>
  </si>
  <si>
    <t xml:space="preserve">$1,307.0 million</t>
  </si>
  <si>
    <t xml:space="preserve">dc_dcf_renew</t>
  </si>
  <si>
    <t xml:space="preserve">$995.9 million</t>
  </si>
  <si>
    <t xml:space="preserve">dc_dcf_retrofit</t>
  </si>
  <si>
    <t xml:space="preserve">$1,054.5 million</t>
  </si>
  <si>
    <t xml:space="preserve">dc_dcf_relet</t>
  </si>
  <si>
    <t xml:space="preserve">$726.2 million</t>
  </si>
  <si>
    <t xml:space="preserve">dc_dcf_stranded</t>
  </si>
  <si>
    <t xml:space="preserve">$557.1 million</t>
  </si>
  <si>
    <t xml:space="preserve">dc_multiple</t>
  </si>
  <si>
    <t xml:space="preserve">Platform multiple less phase 2 cost</t>
  </si>
  <si>
    <t xml:space="preserve">$1,616.7 million</t>
  </si>
  <si>
    <t xml:space="preserve">dc_loan</t>
  </si>
  <si>
    <t xml:space="preserve">$495.0 million</t>
  </si>
  <si>
    <t xml:space="preserve">dc_balloon</t>
  </si>
  <si>
    <t xml:space="preserve">Balloon at year 7</t>
  </si>
  <si>
    <t xml:space="preserve">$444.1 million</t>
  </si>
  <si>
    <t xml:space="preserve">dc_equity0</t>
  </si>
  <si>
    <t xml:space="preserve">$427.9 million</t>
  </si>
  <si>
    <t xml:space="preserve">dc_refi_new_renew</t>
  </si>
  <si>
    <t xml:space="preserve">New loan at year 7, renewed</t>
  </si>
  <si>
    <t xml:space="preserve">$672.7 million</t>
  </si>
  <si>
    <t xml:space="preserve">dc_refi_new_short</t>
  </si>
  <si>
    <t xml:space="preserve">New loan at year 7, not renewed</t>
  </si>
  <si>
    <t xml:space="preserve">$116.4 million</t>
  </si>
  <si>
    <t xml:space="preserve">Thresholds</t>
  </si>
  <si>
    <t xml:space="preserve">dc_shock_be</t>
  </si>
  <si>
    <t xml:space="preserve">Threshold: shock for a zero year-5 margin</t>
  </si>
  <si>
    <t xml:space="preserve">11.0%</t>
  </si>
  <si>
    <t xml:space="preserve">dc_shock_10</t>
  </si>
  <si>
    <t xml:space="preserve">Threshold: shock for a 10% equity IRR</t>
  </si>
  <si>
    <t xml:space="preserve">4.0%</t>
  </si>
  <si>
    <t xml:space="preserve">dc_shock_lock</t>
  </si>
  <si>
    <t xml:space="preserve">Threshold: shock for the DSCR lock-up</t>
  </si>
  <si>
    <t xml:space="preserve">156%</t>
  </si>
  <si>
    <t xml:space="preserve">dc_reset_10</t>
  </si>
  <si>
    <t xml:space="preserve">Threshold: rent reset for 10%</t>
  </si>
  <si>
    <t xml:space="preserve">87.9%</t>
  </si>
  <si>
    <t xml:space="preserve">dc_relet_10</t>
  </si>
  <si>
    <t xml:space="preserve">Threshold: relet rent for 10%</t>
  </si>
  <si>
    <t xml:space="preserve">$246</t>
  </si>
  <si>
    <t xml:space="preserve">dc_exitcap_10</t>
  </si>
  <si>
    <t xml:space="preserve">Threshold: exit cap rate for 10%</t>
  </si>
  <si>
    <t xml:space="preserve">6.36%</t>
  </si>
  <si>
    <t xml:space="preserve">dc_maxprice</t>
  </si>
  <si>
    <t xml:space="preserve">Threshold: highest price for 10%, renew</t>
  </si>
  <si>
    <t xml:space="preserve">$909.6 million</t>
  </si>
  <si>
    <t xml:space="preserve">dc_maxprice_relet</t>
  </si>
  <si>
    <t xml:space="preserve">Threshold: price for 10%, relet</t>
  </si>
  <si>
    <t xml:space="preserve">$652.4 million</t>
  </si>
  <si>
    <t xml:space="preserve">dc_refi_gap</t>
  </si>
  <si>
    <t xml:space="preserve">Equity needed at the year-7 refinancing, not renewed</t>
  </si>
  <si>
    <t xml:space="preserve">$328.9 million</t>
  </si>
  <si>
    <t xml:space="preserve">logic</t>
  </si>
  <si>
    <t xml:space="preserve">Base case: renew at lease end: unlevered IRR() sets NPV to zero</t>
  </si>
  <si>
    <t xml:space="preserve">target</t>
  </si>
  <si>
    <t xml:space="preserve">Base case: renew at lease end: equity IRR() sets NPV to zero</t>
  </si>
  <si>
    <t xml:space="preserve">Base case: renew at lease end: loan balance never negative</t>
  </si>
  <si>
    <t xml:space="preserve">Base case: cash flows add up (sum of unlevered flows = NOI - reserve - capex + exit - entry)</t>
  </si>
  <si>
    <t xml:space="preserve">Base case: the closed-form balloon equals the schedule's balance at maturity (year 7)</t>
  </si>
  <si>
    <t xml:space="preserve">Base case: loan less principal repaid in years 1 to 7 equals the balloon</t>
  </si>
  <si>
    <t xml:space="preserve">Outcome: retrofit to liquid cooling and a new lease: unlevered IRR() sets NPV to zero</t>
  </si>
  <si>
    <t xml:space="preserve">Outcome: retrofit to liquid cooling and a new lease: equity IRR() sets NPV to zero</t>
  </si>
  <si>
    <t xml:space="preserve">Outcome: retrofit to liquid cooling and a new lease: loan balance never negative</t>
  </si>
  <si>
    <t xml:space="preserve">Outcome: the tenant leaves, re-let to colocation customers: unlevered IRR() sets NPV to zero</t>
  </si>
  <si>
    <t xml:space="preserve">Outcome: the tenant leaves, re-let to colocation customers: equity IRR() sets NPV to zero</t>
  </si>
  <si>
    <t xml:space="preserve">Outcome: the tenant leaves, re-let to colocation customers: loan balance never negative</t>
  </si>
  <si>
    <t xml:space="preserve">Outcome: stranded (nobody takes the halls): unlevered IRR() sets NPV to zero</t>
  </si>
  <si>
    <t xml:space="preserve">Outcome: stranded (nobody takes the halls): equity IRR() sets NPV to zero</t>
  </si>
  <si>
    <t xml:space="preserve">Outcome: stranded (nobody takes the halls): loan balance never negative</t>
  </si>
  <si>
    <t xml:space="preserve">Power price +40% from year 5: unlevered IRR() sets NPV to zero</t>
  </si>
  <si>
    <t xml:space="preserve">Power price +40% from year 5: equity IRR() sets NPV to zero</t>
  </si>
  <si>
    <t xml:space="preserve">Power price +40% from year 5: loan balance never negative</t>
  </si>
  <si>
    <t xml:space="preserve">Grid delay: phase 2 energized in year 4: unlevered IRR() sets NPV to zero</t>
  </si>
  <si>
    <t xml:space="preserve">Grid delay: phase 2 energized in year 4: equity IRR() sets NPV to zero</t>
  </si>
  <si>
    <t xml:space="preserve">Grid delay: phase 2 energized in year 4: loan balance never negative</t>
  </si>
  <si>
    <t xml:space="preserve">Grid delay: phase 2 energized in year 5: unlevered IRR() sets NPV to zero</t>
  </si>
  <si>
    <t xml:space="preserve">Grid delay: phase 2 energized in year 5: equity IRR() sets NPV to zero</t>
  </si>
  <si>
    <t xml:space="preserve">Grid delay: phase 2 energized in year 5: loan balance never negative</t>
  </si>
  <si>
    <t xml:space="preserve">Chips early: load falls from year 5, stranded at lease end: unlevered IRR() sets NPV to zero</t>
  </si>
  <si>
    <t xml:space="preserve">Chips early: load falls from year 5, stranded at lease end: equity IRR() sets NPV to zero</t>
  </si>
  <si>
    <t xml:space="preserve">Chips early: load falls from year 5, stranded at lease end: loan balance never negative</t>
  </si>
  <si>
    <t xml:space="preserve">Exit cap rate +75 bp: unlevered IRR() sets NPV to zero</t>
  </si>
  <si>
    <t xml:space="preserve">Exit cap rate +75 bp: equity IRR() sets NPV to zero</t>
  </si>
  <si>
    <t xml:space="preserve">Exit cap rate +75 bp: loan balance never negative</t>
  </si>
  <si>
    <t xml:space="preserve">Phase 1 at its contract PUE of 1.30: unlevered IRR() sets NPV to zero</t>
  </si>
  <si>
    <t xml:space="preserve">Phase 1 at its contract PUE of 1.30: equity IRR() sets NPV to zero</t>
  </si>
  <si>
    <t xml:space="preserve">Phase 1 at its contract PUE of 1.30: loan balance never negative</t>
  </si>
  <si>
    <t xml:space="preserve">PUE 1.30 with the +40% power shock: unlevered IRR() sets NPV to zero</t>
  </si>
  <si>
    <t xml:space="preserve">PUE 1.30 with the +40% power shock: equity IRR() sets NPV to zero</t>
  </si>
  <si>
    <t xml:space="preserve">PUE 1.30 with the +40% power shock: loan balance never negative</t>
  </si>
  <si>
    <t xml:space="preserve">Power +40% and exit cap rate +75 bp (the portfolio's combined case): unlevered IRR() sets NPV to zero</t>
  </si>
  <si>
    <t xml:space="preserve">Power +40% and exit cap rate +75 bp (the portfolio's combined case): equity IRR() sets NPV to zero</t>
  </si>
  <si>
    <t xml:space="preserve">Power +40% and exit cap rate +75 bp (the portfolio's combined case): loan balance never negative</t>
  </si>
  <si>
    <t xml:space="preserve">Threshold: Power shock at which the year-5 energy margin reaches zero: unlevered IRR() sets NPV to zero</t>
  </si>
  <si>
    <t xml:space="preserve">Threshold: Power shock at which the year-5 energy margin reaches zero: equity IRR() sets NPV to zero</t>
  </si>
  <si>
    <t xml:space="preserve">Threshold: Power shock at which the year-5 energy margin reaches zero: loan balance never negative</t>
  </si>
  <si>
    <t xml:space="preserve">Threshold Power shock at which the year-5 energy margin reaches zero: the recomputed case hits its target</t>
  </si>
  <si>
    <t xml:space="preserve">Threshold: Power shock at which equity IRR falls to the 10% target: unlevered IRR() sets NPV to zero</t>
  </si>
  <si>
    <t xml:space="preserve">Threshold: Power shock at which equity IRR falls to the 10% target: equity IRR() sets NPV to zero</t>
  </si>
  <si>
    <t xml:space="preserve">Threshold: Power shock at which equity IRR falls to the 10% target: loan balance never negative</t>
  </si>
  <si>
    <t xml:space="preserve">Threshold Power shock at which equity IRR falls to the 10% target: the recomputed case hits its target</t>
  </si>
  <si>
    <t xml:space="preserve">Threshold: Power shock at which the lowest DSCR of years 5 to 7 reaches the lock-up: unlevered IRR() sets NPV to zero</t>
  </si>
  <si>
    <t xml:space="preserve">Threshold: Power shock at which the lowest DSCR of years 5 to 7 reaches the lock-up: equity IRR() sets NPV to zero</t>
  </si>
  <si>
    <t xml:space="preserve">Threshold: Power shock at which the lowest DSCR of years 5 to 7 reaches the lock-up: loan balance never negative</t>
  </si>
  <si>
    <t xml:space="preserve">Threshold Power shock at which the lowest DSCR of years 5 to 7 reaches the lock-up: the recomputed case hits its target</t>
  </si>
  <si>
    <t xml:space="preserve">Threshold: Renewal rent reset at which equity IRR falls to 10%: unlevered IRR() sets NPV to zero</t>
  </si>
  <si>
    <t xml:space="preserve">Threshold: Renewal rent reset at which equity IRR falls to 10%: equity IRR() sets NPV to zero</t>
  </si>
  <si>
    <t xml:space="preserve">Threshold: Renewal rent reset at which equity IRR falls to 10%: loan balance never negative</t>
  </si>
  <si>
    <t xml:space="preserve">Threshold Renewal rent reset at which equity IRR falls to 10%: the recomputed case hits its target</t>
  </si>
  <si>
    <t xml:space="preserve">Threshold: Relet: colocation rent needed for a 10% equity IRR ($ per kW per month): unlevered IRR() sets NPV to zero</t>
  </si>
  <si>
    <t xml:space="preserve">Threshold: Relet: colocation rent needed for a 10% equity IRR ($ per kW per month): equity IRR() sets NPV to zero</t>
  </si>
  <si>
    <t xml:space="preserve">Threshold: Relet: colocation rent needed for a 10% equity IRR ($ per kW per month): loan balance never negative</t>
  </si>
  <si>
    <t xml:space="preserve">Threshold Relet: colocation rent needed for a 10% equity IRR ($ per kW per month): the recomputed case hits its target</t>
  </si>
  <si>
    <t xml:space="preserve">Threshold: Renew: exit cap rate at which equity IRR falls to 10%: unlevered IRR() sets NPV to zero</t>
  </si>
  <si>
    <t xml:space="preserve">Threshold: Renew: exit cap rate at which equity IRR falls to 10%: equity IRR() sets NPV to zero</t>
  </si>
  <si>
    <t xml:space="preserve">Threshold: Renew: exit cap rate at which equity IRR falls to 10%: loan balance never negative</t>
  </si>
  <si>
    <t xml:space="preserve">Threshold Renew: exit cap rate at which equity IRR falls to 10%: the recomputed case hits its target</t>
  </si>
  <si>
    <t xml:space="preserve">Threshold: Renew: highest price that still earns 10% on equity ($m): unlevered IRR() sets NPV to zero</t>
  </si>
  <si>
    <t xml:space="preserve">Threshold: Renew: highest price that still earns 10% on equity ($m): equity IRR() sets NPV to zero</t>
  </si>
  <si>
    <t xml:space="preserve">Threshold: Renew: highest price that still earns 10% on equity ($m): loan balance never negative</t>
  </si>
  <si>
    <t xml:space="preserve">Threshold Renew: highest price that still earns 10% on equity ($m): the recomputed case hits its target</t>
  </si>
  <si>
    <t xml:space="preserve">Threshold: Relet: price at which even the relet outcome earns 10% ($m): unlevered IRR() sets NPV to zero</t>
  </si>
  <si>
    <t xml:space="preserve">Threshold: Relet: price at which even the relet outcome earns 10% ($m): equity IRR() sets NPV to zero</t>
  </si>
  <si>
    <t xml:space="preserve">Threshold: Relet: price at which even the relet outcome earns 10% ($m): loan balance never negative</t>
  </si>
  <si>
    <t xml:space="preserve">Threshold Relet: price at which even the relet outcome earns 10% ($m): the recomputed case hits its target</t>
  </si>
  <si>
    <t xml:space="preserve">Refinancing: new loan is the lower of DSCR and value sizing (renew)</t>
  </si>
  <si>
    <t xml:space="preserve">Non-renewal outcomes share one refinancing (relet equals stranded)</t>
  </si>
  <si>
    <t xml:space="preserve">Chips early: phase 1 rent in years 5 to 8 equals the base case</t>
  </si>
  <si>
    <t xml:space="preserve">DCF of the renew case at its own unlevered IRR equals the entry cost</t>
  </si>
  <si>
    <t xml:space="preserve">Base case: the lowest DSCR of years 1 to 10 stays above the lock-up</t>
  </si>
</sst>
</file>

<file path=xl/styles.xml><?xml version="1.0" encoding="utf-8"?>
<styleSheet xmlns="http://schemas.openxmlformats.org/spreadsheetml/2006/main">
  <numFmts count="18">
    <numFmt numFmtId="164" formatCode="General"/>
    <numFmt numFmtId="165" formatCode="#,##0.0"/>
    <numFmt numFmtId="166" formatCode="\$#,##0.00;&quot;-$&quot;#,##0.00;\$0.00"/>
    <numFmt numFmtId="167" formatCode="0.0%"/>
    <numFmt numFmtId="168" formatCode="0"/>
    <numFmt numFmtId="169" formatCode="0%"/>
    <numFmt numFmtId="170" formatCode="#,##0.00"/>
    <numFmt numFmtId="171" formatCode="0.00%"/>
    <numFmt numFmtId="172" formatCode="0.0000"/>
    <numFmt numFmtId="173" formatCode="#,##0"/>
    <numFmt numFmtId="174" formatCode="#,##0.00\x"/>
    <numFmt numFmtId="175" formatCode="0.000000"/>
    <numFmt numFmtId="176" formatCode="0.000000000"/>
    <numFmt numFmtId="177" formatCode="0.000%"/>
    <numFmt numFmtId="178" formatCode="#,##0.0000"/>
    <numFmt numFmtId="179" formatCode="#,##0.000"/>
    <numFmt numFmtId="180" formatCode="0.0000%"/>
    <numFmt numFmtId="181" formatCode="0.0E+00"/>
  </numFmts>
  <fonts count="11">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color rgb="FF5B6475"/>
      <name val="Calibri"/>
      <family val="0"/>
      <charset val="1"/>
    </font>
    <font>
      <sz val="11"/>
      <name val="Calibri"/>
      <family val="0"/>
      <charset val="1"/>
    </font>
    <font>
      <b val="true"/>
      <sz val="11"/>
      <name val="Calibri"/>
      <family val="0"/>
      <charset val="1"/>
    </font>
    <font>
      <sz val="11"/>
      <color rgb="FF1F4FB4"/>
      <name val="Calibri"/>
      <family val="0"/>
      <charset val="1"/>
    </font>
    <font>
      <b val="true"/>
      <sz val="11"/>
      <color rgb="FFFFFFFF"/>
      <name val="Calibri"/>
      <family val="0"/>
      <charset val="1"/>
    </font>
    <font>
      <b val="true"/>
      <sz val="11"/>
      <color rgb="FF1F4FB4"/>
      <name val="Calibri"/>
      <family val="0"/>
      <charset val="1"/>
    </font>
  </fonts>
  <fills count="6">
    <fill>
      <patternFill patternType="none"/>
    </fill>
    <fill>
      <patternFill patternType="gray125"/>
    </fill>
    <fill>
      <patternFill patternType="solid">
        <fgColor rgb="FFDCE3ED"/>
        <bgColor rgb="FFEFF3F8"/>
      </patternFill>
    </fill>
    <fill>
      <patternFill patternType="solid">
        <fgColor rgb="FFFFF2CC"/>
        <bgColor rgb="FFEFF3F8"/>
      </patternFill>
    </fill>
    <fill>
      <patternFill patternType="solid">
        <fgColor rgb="FFEFF3F8"/>
        <bgColor rgb="FFFFFFFF"/>
      </patternFill>
    </fill>
    <fill>
      <patternFill patternType="solid">
        <fgColor rgb="FF16213A"/>
        <bgColor rgb="FF003366"/>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false" applyProtection="false">
      <alignment horizontal="general" vertical="bottom" textRotation="0" wrapText="false" indent="0" shrinkToFit="false"/>
      <protection locked="true" hidden="false"/>
    </xf>
    <xf numFmtId="168" fontId="8" fillId="3" borderId="1" xfId="0" applyFont="true" applyBorder="true" applyAlignment="false" applyProtection="false">
      <alignment horizontal="general" vertical="bottom" textRotation="0" wrapText="false" indent="0" shrinkToFit="false"/>
      <protection locked="true" hidden="false"/>
    </xf>
    <xf numFmtId="169" fontId="8" fillId="3" borderId="1" xfId="0" applyFont="true" applyBorder="true" applyAlignment="false" applyProtection="false">
      <alignment horizontal="general" vertical="bottom" textRotation="0" wrapText="false" indent="0" shrinkToFit="false"/>
      <protection locked="true" hidden="false"/>
    </xf>
    <xf numFmtId="170" fontId="8" fillId="3" borderId="1" xfId="0" applyFont="true" applyBorder="true" applyAlignment="false" applyProtection="false">
      <alignment horizontal="general" vertical="bottom" textRotation="0" wrapText="false" indent="0" shrinkToFit="false"/>
      <protection locked="true" hidden="false"/>
    </xf>
    <xf numFmtId="164" fontId="8" fillId="3" borderId="1" xfId="0" applyFont="true" applyBorder="true" applyAlignment="true" applyProtection="false">
      <alignment horizontal="center" vertical="bottom" textRotation="0" wrapText="false" indent="0" shrinkToFit="false"/>
      <protection locked="true" hidden="false"/>
    </xf>
    <xf numFmtId="171" fontId="8" fillId="3" borderId="1" xfId="0" applyFont="true" applyBorder="true" applyAlignment="false" applyProtection="false">
      <alignment horizontal="general" vertical="bottom" textRotation="0" wrapText="false" indent="0" shrinkToFit="false"/>
      <protection locked="true" hidden="false"/>
    </xf>
    <xf numFmtId="164" fontId="6" fillId="4" borderId="1" xfId="0" applyFont="true" applyBorder="true" applyAlignment="true" applyProtection="false">
      <alignment horizontal="center" vertical="bottom" textRotation="0" wrapText="false" indent="0" shrinkToFit="false"/>
      <protection locked="true" hidden="false"/>
    </xf>
    <xf numFmtId="167" fontId="6" fillId="4" borderId="1" xfId="0" applyFont="true" applyBorder="true" applyAlignment="false" applyProtection="false">
      <alignment horizontal="general" vertical="bottom" textRotation="0" wrapText="false" indent="0" shrinkToFit="false"/>
      <protection locked="true" hidden="false"/>
    </xf>
    <xf numFmtId="168" fontId="6" fillId="4" borderId="1" xfId="0" applyFont="true" applyBorder="true" applyAlignment="false" applyProtection="false">
      <alignment horizontal="general" vertical="bottom" textRotation="0" wrapText="false" indent="0" shrinkToFit="false"/>
      <protection locked="true" hidden="false"/>
    </xf>
    <xf numFmtId="169" fontId="6" fillId="4" borderId="1" xfId="0" applyFont="true" applyBorder="true" applyAlignment="false" applyProtection="false">
      <alignment horizontal="general" vertical="bottom" textRotation="0" wrapText="false" indent="0" shrinkToFit="false"/>
      <protection locked="true" hidden="false"/>
    </xf>
    <xf numFmtId="170" fontId="6" fillId="4" borderId="1" xfId="0" applyFont="true" applyBorder="true" applyAlignment="false" applyProtection="false">
      <alignment horizontal="general" vertical="bottom" textRotation="0" wrapText="false" indent="0" shrinkToFit="false"/>
      <protection locked="true" hidden="false"/>
    </xf>
    <xf numFmtId="171" fontId="6" fillId="4" borderId="1" xfId="0" applyFont="true" applyBorder="true" applyAlignment="false" applyProtection="false">
      <alignment horizontal="general" vertical="bottom" textRotation="0" wrapText="false" indent="0" shrinkToFit="false"/>
      <protection locked="true" hidden="false"/>
    </xf>
    <xf numFmtId="166" fontId="6" fillId="4" borderId="1" xfId="0" applyFont="true" applyBorder="true" applyAlignment="false" applyProtection="false">
      <alignment horizontal="general" vertical="bottom" textRotation="0" wrapText="false" indent="0" shrinkToFit="false"/>
      <protection locked="true" hidden="false"/>
    </xf>
    <xf numFmtId="164" fontId="9" fillId="5" borderId="1" xfId="0" applyFont="true" applyBorder="true" applyAlignment="true" applyProtection="false">
      <alignment horizontal="general" vertical="center" textRotation="0" wrapText="true" indent="0" shrinkToFit="false"/>
      <protection locked="true" hidden="false"/>
    </xf>
    <xf numFmtId="164" fontId="9" fillId="5" borderId="1" xfId="0" applyFont="true" applyBorder="true" applyAlignment="true" applyProtection="false">
      <alignment horizontal="center" vertical="center" textRotation="0" wrapText="true" indent="0" shrinkToFit="false"/>
      <protection locked="true" hidden="false"/>
    </xf>
    <xf numFmtId="172" fontId="6" fillId="4" borderId="1" xfId="0" applyFont="true" applyBorder="true" applyAlignment="false" applyProtection="false">
      <alignment horizontal="general" vertical="bottom" textRotation="0" wrapText="false" indent="0" shrinkToFit="false"/>
      <protection locked="true" hidden="false"/>
    </xf>
    <xf numFmtId="173" fontId="6" fillId="4"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6" fontId="7" fillId="4" borderId="1" xfId="0" applyFont="true" applyBorder="true" applyAlignment="false" applyProtection="false">
      <alignment horizontal="general" vertical="bottom" textRotation="0" wrapText="false" indent="0" shrinkToFit="false"/>
      <protection locked="true" hidden="false"/>
    </xf>
    <xf numFmtId="171" fontId="7" fillId="4" borderId="1" xfId="0" applyFont="true" applyBorder="true" applyAlignment="false" applyProtection="false">
      <alignment horizontal="general" vertical="bottom" textRotation="0" wrapText="false" indent="0" shrinkToFit="false"/>
      <protection locked="true" hidden="false"/>
    </xf>
    <xf numFmtId="170" fontId="7" fillId="4" borderId="1" xfId="0" applyFont="true" applyBorder="true" applyAlignment="false" applyProtection="false">
      <alignment horizontal="general" vertical="bottom" textRotation="0" wrapText="false" indent="0" shrinkToFit="false"/>
      <protection locked="true" hidden="false"/>
    </xf>
    <xf numFmtId="174" fontId="6" fillId="4" borderId="1" xfId="0" applyFont="true" applyBorder="true" applyAlignment="false" applyProtection="false">
      <alignment horizontal="general" vertical="bottom" textRotation="0" wrapText="false" indent="0" shrinkToFit="false"/>
      <protection locked="true" hidden="false"/>
    </xf>
    <xf numFmtId="167" fontId="7" fillId="4" borderId="1" xfId="0" applyFont="true" applyBorder="true" applyAlignment="false" applyProtection="false">
      <alignment horizontal="general" vertical="bottom" textRotation="0" wrapText="false" indent="0" shrinkToFit="false"/>
      <protection locked="true" hidden="false"/>
    </xf>
    <xf numFmtId="167" fontId="10" fillId="3" borderId="1" xfId="0" applyFont="true" applyBorder="true" applyAlignment="false" applyProtection="false">
      <alignment horizontal="general" vertical="bottom" textRotation="0" wrapText="false" indent="0" shrinkToFit="false"/>
      <protection locked="true" hidden="false"/>
    </xf>
    <xf numFmtId="175" fontId="7" fillId="4" borderId="1" xfId="0" applyFont="true" applyBorder="true" applyAlignment="false" applyProtection="false">
      <alignment horizontal="general" vertical="bottom" textRotation="0" wrapText="false" indent="0" shrinkToFit="false"/>
      <protection locked="true" hidden="false"/>
    </xf>
    <xf numFmtId="176" fontId="7" fillId="4" borderId="1" xfId="0" applyFont="true" applyBorder="true" applyAlignment="false" applyProtection="false">
      <alignment horizontal="general" vertical="bottom" textRotation="0" wrapText="false" indent="0" shrinkToFit="false"/>
      <protection locked="true" hidden="false"/>
    </xf>
    <xf numFmtId="164" fontId="7" fillId="4" borderId="1" xfId="0" applyFont="true" applyBorder="true" applyAlignment="true" applyProtection="false">
      <alignment horizontal="center" vertical="bottom" textRotation="0" wrapText="false" indent="0" shrinkToFit="false"/>
      <protection locked="true" hidden="false"/>
    </xf>
    <xf numFmtId="171" fontId="10" fillId="3" borderId="1" xfId="0" applyFont="true" applyBorder="true" applyAlignment="false" applyProtection="false">
      <alignment horizontal="general" vertical="bottom" textRotation="0" wrapText="false" indent="0" shrinkToFit="false"/>
      <protection locked="true" hidden="false"/>
    </xf>
    <xf numFmtId="166" fontId="10" fillId="3" borderId="1" xfId="0" applyFont="true" applyBorder="true" applyAlignment="false" applyProtection="false">
      <alignment horizontal="general" vertical="bottom" textRotation="0" wrapText="false" indent="0" shrinkToFit="false"/>
      <protection locked="true" hidden="false"/>
    </xf>
    <xf numFmtId="177" fontId="10" fillId="3" borderId="1" xfId="0" applyFont="true" applyBorder="true" applyAlignment="false" applyProtection="false">
      <alignment horizontal="general" vertical="bottom" textRotation="0" wrapText="false" indent="0" shrinkToFit="false"/>
      <protection locked="true" hidden="false"/>
    </xf>
    <xf numFmtId="168" fontId="7" fillId="4"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center" vertical="bottom" textRotation="0" wrapText="false" indent="0" shrinkToFit="false"/>
      <protection locked="true" hidden="false"/>
    </xf>
    <xf numFmtId="164" fontId="6" fillId="0" borderId="1" xfId="0" applyFont="true" applyBorder="true" applyAlignment="true" applyProtection="false">
      <alignment horizontal="right" vertical="bottom" textRotation="0" wrapText="false" indent="0" shrinkToFit="false"/>
      <protection locked="true" hidden="false"/>
    </xf>
    <xf numFmtId="178" fontId="6" fillId="4" borderId="1" xfId="0" applyFont="true" applyBorder="true" applyAlignment="false" applyProtection="false">
      <alignment horizontal="general" vertical="bottom" textRotation="0" wrapText="false" indent="0" shrinkToFit="false"/>
      <protection locked="true" hidden="false"/>
    </xf>
    <xf numFmtId="175" fontId="6" fillId="4" borderId="1" xfId="0" applyFont="true" applyBorder="true" applyAlignment="false" applyProtection="false">
      <alignment horizontal="general" vertical="bottom" textRotation="0" wrapText="false" indent="0" shrinkToFit="false"/>
      <protection locked="true" hidden="false"/>
    </xf>
    <xf numFmtId="175" fontId="8" fillId="3" borderId="1" xfId="0" applyFont="true" applyBorder="true" applyAlignment="false" applyProtection="false">
      <alignment horizontal="general" vertical="bottom" textRotation="0" wrapText="false" indent="0" shrinkToFit="false"/>
      <protection locked="true" hidden="false"/>
    </xf>
    <xf numFmtId="173" fontId="8" fillId="3" borderId="1" xfId="0" applyFont="true" applyBorder="true" applyAlignment="false" applyProtection="false">
      <alignment horizontal="general" vertical="bottom" textRotation="0" wrapText="false" indent="0" shrinkToFit="false"/>
      <protection locked="true" hidden="false"/>
    </xf>
    <xf numFmtId="179" fontId="6" fillId="4" borderId="1" xfId="0" applyFont="true" applyBorder="true" applyAlignment="false" applyProtection="false">
      <alignment horizontal="general" vertical="bottom" textRotation="0" wrapText="false" indent="0" shrinkToFit="false"/>
      <protection locked="true" hidden="false"/>
    </xf>
    <xf numFmtId="180" fontId="6" fillId="4" borderId="1" xfId="0" applyFont="true" applyBorder="true" applyAlignment="false" applyProtection="false">
      <alignment horizontal="general" vertical="bottom" textRotation="0" wrapText="false" indent="0" shrinkToFit="false"/>
      <protection locked="true" hidden="false"/>
    </xf>
    <xf numFmtId="177" fontId="6" fillId="4"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81" fontId="8" fillId="3"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Calibri"/>
        <charset val="1"/>
        <family val="0"/>
        <b val="1"/>
        <color rgb="FFC00000"/>
      </font>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EFF3F8"/>
      <rgbColor rgb="FF660066"/>
      <rgbColor rgb="FFFF8080"/>
      <rgbColor rgb="FF0066CC"/>
      <rgbColor rgb="FFDCE3E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B6475"/>
      <rgbColor rgb="FF9AA3B2"/>
      <rgbColor rgb="FF003366"/>
      <rgbColor rgb="FF339966"/>
      <rgbColor rgb="FF003300"/>
      <rgbColor rgb="FF333300"/>
      <rgbColor rgb="FF993300"/>
      <rgbColor rgb="FF993366"/>
      <rgbColor rgb="FF1F4FB4"/>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B1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120"/>
  </cols>
  <sheetData>
    <row r="1" customFormat="false" ht="6" hidden="false" customHeight="true" outlineLevel="0" collapsed="false"/>
    <row r="2" customFormat="false" ht="18.65"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row>
    <row r="5" customFormat="false" ht="15" hidden="false" customHeight="false" outlineLevel="0" collapsed="false">
      <c r="B5" s="4" t="s">
        <v>2</v>
      </c>
    </row>
    <row r="6" customFormat="false" ht="105" hidden="false" customHeight="true" outlineLevel="0" collapsed="false">
      <c r="B6" s="3" t="s">
        <v>3</v>
      </c>
    </row>
    <row r="7" customFormat="false" ht="15" hidden="false" customHeight="false" outlineLevel="0" collapsed="false">
      <c r="B7" s="4" t="s">
        <v>4</v>
      </c>
    </row>
    <row r="8" customFormat="false" ht="15" hidden="false" customHeight="true" outlineLevel="0" collapsed="false">
      <c r="B8" s="3" t="s">
        <v>5</v>
      </c>
    </row>
    <row r="9" customFormat="false" ht="15" hidden="false" customHeight="false" outlineLevel="0" collapsed="false">
      <c r="B9" s="4" t="s">
        <v>6</v>
      </c>
    </row>
    <row r="10" customFormat="false" ht="60" hidden="false" customHeight="true" outlineLevel="0" collapsed="false">
      <c r="B10" s="3" t="s">
        <v>7</v>
      </c>
    </row>
    <row r="11" customFormat="false" ht="15" hidden="false" customHeight="false" outlineLevel="0" collapsed="false">
      <c r="B11" s="4" t="s">
        <v>8</v>
      </c>
    </row>
    <row r="12" customFormat="false" ht="60" hidden="false" customHeight="true" outlineLevel="0" collapsed="false">
      <c r="B12" s="3" t="s">
        <v>9</v>
      </c>
    </row>
    <row r="13" customFormat="false" ht="15" hidden="false" customHeight="false" outlineLevel="0" collapsed="false">
      <c r="B13" s="3"/>
    </row>
    <row r="14" customFormat="false" ht="15" hidden="false" customHeight="true" outlineLevel="0" collapsed="false">
      <c r="B14" s="3" t="s">
        <v>10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D9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6"/>
    <col collapsed="false" customWidth="true" hidden="false" outlineLevel="0" max="3" min="3" style="0" width="14"/>
    <col collapsed="false" customWidth="true" hidden="false" outlineLevel="0" max="4" min="4" style="0" width="44"/>
  </cols>
  <sheetData>
    <row r="1" customFormat="false" ht="6" hidden="false" customHeight="true" outlineLevel="0" collapsed="false"/>
    <row r="2" customFormat="false" ht="17.35" hidden="false" customHeight="false" outlineLevel="0" collapsed="false">
      <c r="B2" s="5" t="s">
        <v>11</v>
      </c>
    </row>
    <row r="3" customFormat="false" ht="15" hidden="false" customHeight="false" outlineLevel="0" collapsed="false">
      <c r="B3" s="6" t="s">
        <v>12</v>
      </c>
    </row>
    <row r="5" customFormat="false" ht="15" hidden="false" customHeight="false" outlineLevel="0" collapsed="false">
      <c r="B5" s="7" t="s">
        <v>13</v>
      </c>
      <c r="C5" s="8"/>
      <c r="D5" s="8"/>
    </row>
    <row r="6" customFormat="false" ht="15" hidden="false" customHeight="false" outlineLevel="0" collapsed="false">
      <c r="B6" s="9" t="s">
        <v>14</v>
      </c>
      <c r="C6" s="10" t="n">
        <v>32</v>
      </c>
      <c r="D6" s="6" t="s">
        <v>15</v>
      </c>
    </row>
    <row r="7" customFormat="false" ht="15" hidden="false" customHeight="false" outlineLevel="0" collapsed="false">
      <c r="B7" s="9" t="s">
        <v>16</v>
      </c>
      <c r="C7" s="11" t="n">
        <v>138</v>
      </c>
      <c r="D7" s="6" t="s">
        <v>17</v>
      </c>
    </row>
    <row r="8" customFormat="false" ht="15" hidden="false" customHeight="false" outlineLevel="0" collapsed="false">
      <c r="B8" s="9" t="s">
        <v>18</v>
      </c>
      <c r="C8" s="12" t="n">
        <v>0.02</v>
      </c>
      <c r="D8" s="6" t="s">
        <v>19</v>
      </c>
    </row>
    <row r="9" customFormat="false" ht="15" hidden="false" customHeight="false" outlineLevel="0" collapsed="false">
      <c r="B9" s="9" t="s">
        <v>20</v>
      </c>
      <c r="C9" s="13" t="n">
        <v>8</v>
      </c>
      <c r="D9" s="6" t="s">
        <v>21</v>
      </c>
    </row>
    <row r="10" customFormat="false" ht="15" hidden="false" customHeight="false" outlineLevel="0" collapsed="false">
      <c r="B10" s="9" t="s">
        <v>22</v>
      </c>
      <c r="C10" s="11" t="n">
        <v>4.1</v>
      </c>
      <c r="D10" s="6" t="s">
        <v>23</v>
      </c>
    </row>
    <row r="11" customFormat="false" ht="15" hidden="false" customHeight="false" outlineLevel="0" collapsed="false">
      <c r="B11" s="9" t="s">
        <v>24</v>
      </c>
      <c r="C11" s="12" t="n">
        <v>0.03</v>
      </c>
      <c r="D11" s="6" t="s">
        <v>19</v>
      </c>
    </row>
    <row r="12" customFormat="false" ht="15" hidden="false" customHeight="false" outlineLevel="0" collapsed="false">
      <c r="B12" s="9" t="s">
        <v>25</v>
      </c>
      <c r="C12" s="12" t="n">
        <v>0.01</v>
      </c>
    </row>
    <row r="13" customFormat="false" ht="15" hidden="false" customHeight="false" outlineLevel="0" collapsed="false">
      <c r="B13" s="9" t="s">
        <v>26</v>
      </c>
      <c r="C13" s="11" t="n">
        <v>1.3</v>
      </c>
      <c r="D13" s="6" t="s">
        <v>23</v>
      </c>
    </row>
    <row r="15" customFormat="false" ht="15" hidden="false" customHeight="false" outlineLevel="0" collapsed="false">
      <c r="B15" s="7" t="s">
        <v>27</v>
      </c>
      <c r="C15" s="8"/>
      <c r="D15" s="8"/>
    </row>
    <row r="16" customFormat="false" ht="15" hidden="false" customHeight="false" outlineLevel="0" collapsed="false">
      <c r="B16" s="9" t="s">
        <v>28</v>
      </c>
      <c r="C16" s="14" t="n">
        <v>0.8</v>
      </c>
    </row>
    <row r="17" customFormat="false" ht="15" hidden="false" customHeight="false" outlineLevel="0" collapsed="false">
      <c r="B17" s="9" t="s">
        <v>29</v>
      </c>
      <c r="C17" s="15" t="n">
        <v>1.3</v>
      </c>
    </row>
    <row r="18" customFormat="false" ht="15" hidden="false" customHeight="false" outlineLevel="0" collapsed="false">
      <c r="B18" s="9" t="s">
        <v>30</v>
      </c>
      <c r="C18" s="15" t="n">
        <v>1.4</v>
      </c>
    </row>
    <row r="19" customFormat="false" ht="15" hidden="false" customHeight="false" outlineLevel="0" collapsed="false">
      <c r="B19" s="9" t="s">
        <v>31</v>
      </c>
      <c r="C19" s="11" t="n">
        <v>74</v>
      </c>
      <c r="D19" s="6" t="s">
        <v>32</v>
      </c>
    </row>
    <row r="20" customFormat="false" ht="15" hidden="false" customHeight="false" outlineLevel="0" collapsed="false">
      <c r="B20" s="9" t="s">
        <v>33</v>
      </c>
      <c r="C20" s="12" t="n">
        <v>0.02</v>
      </c>
      <c r="D20" s="6" t="s">
        <v>19</v>
      </c>
    </row>
    <row r="21" customFormat="false" ht="15" hidden="false" customHeight="false" outlineLevel="0" collapsed="false">
      <c r="B21" s="9" t="s">
        <v>34</v>
      </c>
      <c r="C21" s="11" t="n">
        <v>61</v>
      </c>
      <c r="D21" s="6" t="s">
        <v>32</v>
      </c>
    </row>
    <row r="22" customFormat="false" ht="15" hidden="false" customHeight="false" outlineLevel="0" collapsed="false">
      <c r="B22" s="9" t="s">
        <v>35</v>
      </c>
      <c r="C22" s="13" t="n">
        <v>4</v>
      </c>
    </row>
    <row r="23" customFormat="false" ht="15" hidden="false" customHeight="false" outlineLevel="0" collapsed="false">
      <c r="B23" s="9" t="s">
        <v>36</v>
      </c>
      <c r="C23" s="11" t="n">
        <v>67</v>
      </c>
      <c r="D23" s="6" t="s">
        <v>32</v>
      </c>
    </row>
    <row r="24" customFormat="false" ht="15" hidden="false" customHeight="false" outlineLevel="0" collapsed="false">
      <c r="B24" s="9" t="s">
        <v>37</v>
      </c>
      <c r="C24" s="12" t="n">
        <v>0.025</v>
      </c>
      <c r="D24" s="6" t="s">
        <v>19</v>
      </c>
    </row>
    <row r="25" customFormat="false" ht="15" hidden="false" customHeight="false" outlineLevel="0" collapsed="false">
      <c r="B25" s="9" t="s">
        <v>38</v>
      </c>
      <c r="C25" s="12" t="n">
        <v>0</v>
      </c>
      <c r="D25" s="6" t="s">
        <v>39</v>
      </c>
    </row>
    <row r="26" customFormat="false" ht="15" hidden="false" customHeight="false" outlineLevel="0" collapsed="false">
      <c r="B26" s="9" t="s">
        <v>40</v>
      </c>
      <c r="C26" s="13" t="n">
        <v>5</v>
      </c>
    </row>
    <row r="27" customFormat="false" ht="15" hidden="false" customHeight="false" outlineLevel="0" collapsed="false">
      <c r="B27" s="9" t="s">
        <v>41</v>
      </c>
      <c r="C27" s="11" t="n">
        <v>3</v>
      </c>
      <c r="D27" s="6" t="s">
        <v>32</v>
      </c>
    </row>
    <row r="29" customFormat="false" ht="15" hidden="false" customHeight="false" outlineLevel="0" collapsed="false">
      <c r="B29" s="7" t="s">
        <v>42</v>
      </c>
      <c r="C29" s="8"/>
      <c r="D29" s="8"/>
    </row>
    <row r="30" customFormat="false" ht="15" hidden="false" customHeight="false" outlineLevel="0" collapsed="false">
      <c r="B30" s="9" t="s">
        <v>43</v>
      </c>
      <c r="C30" s="10" t="n">
        <v>16</v>
      </c>
      <c r="D30" s="6" t="s">
        <v>15</v>
      </c>
    </row>
    <row r="31" customFormat="false" ht="15" hidden="false" customHeight="false" outlineLevel="0" collapsed="false">
      <c r="B31" s="9" t="s">
        <v>44</v>
      </c>
      <c r="C31" s="11" t="n">
        <v>10.5</v>
      </c>
      <c r="D31" s="6" t="s">
        <v>45</v>
      </c>
    </row>
    <row r="32" customFormat="false" ht="15" hidden="false" customHeight="false" outlineLevel="0" collapsed="false">
      <c r="B32" s="9" t="s">
        <v>46</v>
      </c>
      <c r="C32" s="13" t="n">
        <v>3</v>
      </c>
    </row>
    <row r="33" customFormat="false" ht="15" hidden="false" customHeight="false" outlineLevel="0" collapsed="false">
      <c r="B33" s="9" t="s">
        <v>47</v>
      </c>
      <c r="C33" s="13" t="n">
        <v>3</v>
      </c>
    </row>
    <row r="34" customFormat="false" ht="15" hidden="false" customHeight="false" outlineLevel="0" collapsed="false">
      <c r="B34" s="9" t="s">
        <v>48</v>
      </c>
      <c r="C34" s="11" t="n">
        <v>152</v>
      </c>
      <c r="D34" s="6" t="s">
        <v>17</v>
      </c>
    </row>
    <row r="35" customFormat="false" ht="15" hidden="false" customHeight="false" outlineLevel="0" collapsed="false">
      <c r="B35" s="9" t="s">
        <v>49</v>
      </c>
      <c r="C35" s="15" t="n">
        <v>0.5</v>
      </c>
      <c r="D35" s="6" t="s">
        <v>50</v>
      </c>
    </row>
    <row r="36" customFormat="false" ht="15" hidden="false" customHeight="false" outlineLevel="0" collapsed="false">
      <c r="B36" s="9" t="s">
        <v>51</v>
      </c>
      <c r="C36" s="12" t="n">
        <v>0.04</v>
      </c>
      <c r="D36" s="6" t="s">
        <v>52</v>
      </c>
    </row>
    <row r="37" customFormat="false" ht="15" hidden="false" customHeight="false" outlineLevel="0" collapsed="false">
      <c r="B37" s="9" t="s">
        <v>53</v>
      </c>
      <c r="C37" s="15" t="n">
        <v>1.2</v>
      </c>
    </row>
    <row r="38" customFormat="false" ht="15" hidden="false" customHeight="false" outlineLevel="0" collapsed="false">
      <c r="B38" s="9" t="s">
        <v>54</v>
      </c>
      <c r="C38" s="11" t="n">
        <v>1.6</v>
      </c>
      <c r="D38" s="6" t="s">
        <v>55</v>
      </c>
    </row>
    <row r="39" customFormat="false" ht="15" hidden="false" customHeight="false" outlineLevel="0" collapsed="false">
      <c r="B39" s="9" t="s">
        <v>56</v>
      </c>
      <c r="C39" s="11" t="n">
        <v>0.5</v>
      </c>
      <c r="D39" s="6" t="s">
        <v>55</v>
      </c>
    </row>
    <row r="41" customFormat="false" ht="15" hidden="false" customHeight="false" outlineLevel="0" collapsed="false">
      <c r="B41" s="7" t="s">
        <v>57</v>
      </c>
      <c r="C41" s="8"/>
      <c r="D41" s="8"/>
    </row>
    <row r="42" customFormat="false" ht="15" hidden="false" customHeight="false" outlineLevel="0" collapsed="false">
      <c r="B42" s="9" t="s">
        <v>58</v>
      </c>
      <c r="C42" s="16" t="s">
        <v>59</v>
      </c>
      <c r="D42" s="6" t="s">
        <v>60</v>
      </c>
    </row>
    <row r="43" customFormat="false" ht="15" hidden="false" customHeight="false" outlineLevel="0" collapsed="false">
      <c r="B43" s="9" t="s">
        <v>61</v>
      </c>
      <c r="C43" s="12" t="n">
        <v>0.9</v>
      </c>
    </row>
    <row r="44" customFormat="false" ht="15" hidden="false" customHeight="false" outlineLevel="0" collapsed="false">
      <c r="B44" s="9" t="s">
        <v>62</v>
      </c>
      <c r="C44" s="11" t="n">
        <v>0.4</v>
      </c>
      <c r="D44" s="6" t="s">
        <v>63</v>
      </c>
    </row>
    <row r="45" customFormat="false" ht="15" hidden="false" customHeight="false" outlineLevel="0" collapsed="false">
      <c r="B45" s="9" t="s">
        <v>64</v>
      </c>
      <c r="C45" s="11" t="n">
        <v>2.6</v>
      </c>
      <c r="D45" s="6" t="s">
        <v>63</v>
      </c>
    </row>
    <row r="46" customFormat="false" ht="15" hidden="false" customHeight="false" outlineLevel="0" collapsed="false">
      <c r="B46" s="9" t="s">
        <v>65</v>
      </c>
      <c r="C46" s="11" t="n">
        <v>168</v>
      </c>
      <c r="D46" s="6" t="s">
        <v>17</v>
      </c>
    </row>
    <row r="47" customFormat="false" ht="15" hidden="false" customHeight="false" outlineLevel="0" collapsed="false">
      <c r="B47" s="9" t="s">
        <v>66</v>
      </c>
      <c r="C47" s="15" t="n">
        <v>1.2</v>
      </c>
    </row>
    <row r="48" customFormat="false" ht="15" hidden="false" customHeight="false" outlineLevel="0" collapsed="false">
      <c r="B48" s="9" t="s">
        <v>67</v>
      </c>
      <c r="C48" s="14" t="n">
        <v>0.5</v>
      </c>
      <c r="D48" s="6" t="s">
        <v>68</v>
      </c>
    </row>
    <row r="49" customFormat="false" ht="15" hidden="false" customHeight="false" outlineLevel="0" collapsed="false">
      <c r="B49" s="9" t="s">
        <v>69</v>
      </c>
      <c r="C49" s="11" t="n">
        <v>120</v>
      </c>
      <c r="D49" s="6" t="s">
        <v>17</v>
      </c>
    </row>
    <row r="50" customFormat="false" ht="15" hidden="false" customHeight="false" outlineLevel="0" collapsed="false">
      <c r="B50" s="9" t="s">
        <v>70</v>
      </c>
      <c r="C50" s="14" t="n">
        <v>0</v>
      </c>
    </row>
    <row r="51" customFormat="false" ht="15" hidden="false" customHeight="false" outlineLevel="0" collapsed="false">
      <c r="B51" s="9" t="s">
        <v>71</v>
      </c>
      <c r="C51" s="14" t="n">
        <v>0.55</v>
      </c>
    </row>
    <row r="52" customFormat="false" ht="15" hidden="false" customHeight="false" outlineLevel="0" collapsed="false">
      <c r="B52" s="9" t="s">
        <v>72</v>
      </c>
      <c r="C52" s="14" t="n">
        <v>0.85</v>
      </c>
    </row>
    <row r="53" customFormat="false" ht="15" hidden="false" customHeight="false" outlineLevel="0" collapsed="false">
      <c r="B53" s="9" t="s">
        <v>73</v>
      </c>
      <c r="C53" s="15" t="n">
        <v>1.45</v>
      </c>
    </row>
    <row r="54" customFormat="false" ht="15" hidden="false" customHeight="false" outlineLevel="0" collapsed="false">
      <c r="B54" s="9" t="s">
        <v>74</v>
      </c>
      <c r="C54" s="15" t="n">
        <v>1.25</v>
      </c>
      <c r="D54" s="6" t="s">
        <v>75</v>
      </c>
    </row>
    <row r="55" customFormat="false" ht="15" hidden="false" customHeight="false" outlineLevel="0" collapsed="false">
      <c r="B55" s="9" t="s">
        <v>76</v>
      </c>
      <c r="C55" s="11" t="n">
        <v>0.8</v>
      </c>
      <c r="D55" s="6" t="s">
        <v>63</v>
      </c>
    </row>
    <row r="56" customFormat="false" ht="15" hidden="false" customHeight="false" outlineLevel="0" collapsed="false">
      <c r="B56" s="9" t="s">
        <v>77</v>
      </c>
      <c r="C56" s="14" t="n">
        <v>0.4</v>
      </c>
    </row>
    <row r="57" customFormat="false" ht="15" hidden="false" customHeight="false" outlineLevel="0" collapsed="false">
      <c r="B57" s="9" t="s">
        <v>78</v>
      </c>
      <c r="C57" s="11" t="n">
        <v>1.6</v>
      </c>
      <c r="D57" s="6" t="s">
        <v>79</v>
      </c>
    </row>
    <row r="58" customFormat="false" ht="15" hidden="false" customHeight="false" outlineLevel="0" collapsed="false">
      <c r="B58" s="9" t="s">
        <v>80</v>
      </c>
      <c r="C58" s="11" t="n">
        <v>12</v>
      </c>
      <c r="D58" s="6" t="s">
        <v>81</v>
      </c>
    </row>
    <row r="59" customFormat="false" ht="15" hidden="false" customHeight="false" outlineLevel="0" collapsed="false">
      <c r="B59" s="9" t="s">
        <v>82</v>
      </c>
      <c r="C59" s="13" t="n">
        <v>5</v>
      </c>
      <c r="D59" s="6" t="s">
        <v>83</v>
      </c>
    </row>
    <row r="60" customFormat="false" ht="15" hidden="false" customHeight="false" outlineLevel="0" collapsed="false">
      <c r="B60" s="9" t="s">
        <v>84</v>
      </c>
      <c r="C60" s="14" t="n">
        <v>0.45</v>
      </c>
      <c r="D60" s="6" t="s">
        <v>83</v>
      </c>
    </row>
    <row r="61" customFormat="false" ht="15" hidden="false" customHeight="false" outlineLevel="0" collapsed="false">
      <c r="B61" s="9" t="s">
        <v>85</v>
      </c>
      <c r="C61" s="15" t="n">
        <v>1.55</v>
      </c>
      <c r="D61" s="6" t="s">
        <v>83</v>
      </c>
    </row>
    <row r="63" customFormat="false" ht="15" hidden="false" customHeight="false" outlineLevel="0" collapsed="false">
      <c r="B63" s="7" t="s">
        <v>86</v>
      </c>
      <c r="C63" s="8"/>
      <c r="D63" s="8"/>
    </row>
    <row r="64" customFormat="false" ht="15" hidden="false" customHeight="false" outlineLevel="0" collapsed="false">
      <c r="B64" s="9" t="s">
        <v>87</v>
      </c>
      <c r="C64" s="11" t="n">
        <v>900</v>
      </c>
      <c r="D64" s="6" t="s">
        <v>81</v>
      </c>
    </row>
    <row r="65" customFormat="false" ht="15" hidden="false" customHeight="false" outlineLevel="0" collapsed="false">
      <c r="B65" s="9" t="s">
        <v>88</v>
      </c>
      <c r="C65" s="12" t="n">
        <v>0.02</v>
      </c>
    </row>
    <row r="66" customFormat="false" ht="15" hidden="false" customHeight="false" outlineLevel="0" collapsed="false">
      <c r="B66" s="9" t="s">
        <v>89</v>
      </c>
      <c r="C66" s="12" t="n">
        <v>0.015</v>
      </c>
    </row>
    <row r="67" customFormat="false" ht="15" hidden="false" customHeight="false" outlineLevel="0" collapsed="false">
      <c r="B67" s="9" t="s">
        <v>90</v>
      </c>
      <c r="C67" s="17" t="n">
        <v>0.0625</v>
      </c>
      <c r="D67" s="6" t="s">
        <v>91</v>
      </c>
    </row>
    <row r="68" customFormat="false" ht="15" hidden="false" customHeight="false" outlineLevel="0" collapsed="false">
      <c r="B68" s="9" t="s">
        <v>92</v>
      </c>
      <c r="C68" s="17" t="n">
        <v>0.0575</v>
      </c>
    </row>
    <row r="69" customFormat="false" ht="15" hidden="false" customHeight="false" outlineLevel="0" collapsed="false">
      <c r="B69" s="9" t="s">
        <v>93</v>
      </c>
      <c r="C69" s="17" t="n">
        <v>0.0725</v>
      </c>
    </row>
    <row r="70" customFormat="false" ht="15" hidden="false" customHeight="false" outlineLevel="0" collapsed="false">
      <c r="B70" s="9" t="s">
        <v>94</v>
      </c>
      <c r="C70" s="17" t="n">
        <v>0.06</v>
      </c>
    </row>
    <row r="71" customFormat="false" ht="15" hidden="false" customHeight="false" outlineLevel="0" collapsed="false">
      <c r="B71" s="9" t="s">
        <v>95</v>
      </c>
      <c r="C71" s="17" t="n">
        <v>0</v>
      </c>
      <c r="D71" s="6" t="s">
        <v>39</v>
      </c>
    </row>
    <row r="72" customFormat="false" ht="15" hidden="false" customHeight="false" outlineLevel="0" collapsed="false">
      <c r="B72" s="9" t="s">
        <v>96</v>
      </c>
      <c r="C72" s="12" t="n">
        <v>0.075</v>
      </c>
      <c r="D72" s="6" t="s">
        <v>97</v>
      </c>
    </row>
    <row r="73" customFormat="false" ht="15" hidden="false" customHeight="false" outlineLevel="0" collapsed="false">
      <c r="B73" s="9" t="s">
        <v>98</v>
      </c>
      <c r="C73" s="17" t="n">
        <v>0.055</v>
      </c>
      <c r="D73" s="6" t="s">
        <v>97</v>
      </c>
    </row>
    <row r="74" customFormat="false" ht="15" hidden="false" customHeight="false" outlineLevel="0" collapsed="false">
      <c r="B74" s="9" t="s">
        <v>99</v>
      </c>
      <c r="C74" s="10" t="n">
        <v>22</v>
      </c>
      <c r="D74" s="6" t="s">
        <v>100</v>
      </c>
    </row>
    <row r="76" customFormat="false" ht="15" hidden="false" customHeight="false" outlineLevel="0" collapsed="false">
      <c r="B76" s="7" t="s">
        <v>101</v>
      </c>
      <c r="C76" s="8"/>
      <c r="D76" s="8"/>
    </row>
    <row r="77" customFormat="false" ht="15" hidden="false" customHeight="false" outlineLevel="0" collapsed="false">
      <c r="B77" s="9" t="s">
        <v>102</v>
      </c>
      <c r="C77" s="14" t="n">
        <v>0.55</v>
      </c>
    </row>
    <row r="78" customFormat="false" ht="15" hidden="false" customHeight="false" outlineLevel="0" collapsed="false">
      <c r="B78" s="9" t="s">
        <v>103</v>
      </c>
      <c r="C78" s="17" t="n">
        <v>0.06</v>
      </c>
    </row>
    <row r="79" customFormat="false" ht="15" hidden="false" customHeight="false" outlineLevel="0" collapsed="false">
      <c r="B79" s="9" t="s">
        <v>104</v>
      </c>
      <c r="C79" s="13" t="n">
        <v>2</v>
      </c>
    </row>
    <row r="80" customFormat="false" ht="15" hidden="false" customHeight="false" outlineLevel="0" collapsed="false">
      <c r="B80" s="9" t="s">
        <v>105</v>
      </c>
      <c r="C80" s="13" t="n">
        <v>25</v>
      </c>
      <c r="D80" s="6" t="s">
        <v>106</v>
      </c>
    </row>
    <row r="81" customFormat="false" ht="15" hidden="false" customHeight="false" outlineLevel="0" collapsed="false">
      <c r="B81" s="9" t="s">
        <v>107</v>
      </c>
      <c r="C81" s="13" t="n">
        <v>7</v>
      </c>
    </row>
    <row r="82" customFormat="false" ht="15" hidden="false" customHeight="false" outlineLevel="0" collapsed="false">
      <c r="B82" s="9" t="s">
        <v>108</v>
      </c>
      <c r="C82" s="12" t="n">
        <v>0.01</v>
      </c>
    </row>
    <row r="83" customFormat="false" ht="15" hidden="false" customHeight="false" outlineLevel="0" collapsed="false">
      <c r="B83" s="9" t="s">
        <v>109</v>
      </c>
      <c r="C83" s="17" t="n">
        <v>0.065</v>
      </c>
    </row>
    <row r="84" customFormat="false" ht="15" hidden="false" customHeight="false" outlineLevel="0" collapsed="false">
      <c r="B84" s="9" t="s">
        <v>110</v>
      </c>
      <c r="C84" s="15" t="n">
        <v>1.4</v>
      </c>
      <c r="D84" s="6" t="s">
        <v>75</v>
      </c>
    </row>
    <row r="85" customFormat="false" ht="15" hidden="false" customHeight="false" outlineLevel="0" collapsed="false">
      <c r="B85" s="9" t="s">
        <v>111</v>
      </c>
      <c r="C85" s="14" t="n">
        <v>0.55</v>
      </c>
    </row>
    <row r="86" customFormat="false" ht="15" hidden="false" customHeight="false" outlineLevel="0" collapsed="false">
      <c r="B86" s="9" t="s">
        <v>112</v>
      </c>
      <c r="C86" s="13" t="n">
        <v>20</v>
      </c>
      <c r="D86" s="6" t="s">
        <v>106</v>
      </c>
    </row>
    <row r="87" customFormat="false" ht="15" hidden="false" customHeight="false" outlineLevel="0" collapsed="false">
      <c r="B87" s="9" t="s">
        <v>113</v>
      </c>
      <c r="C87" s="13" t="n">
        <v>7</v>
      </c>
      <c r="D87" s="6" t="s">
        <v>106</v>
      </c>
    </row>
    <row r="88" customFormat="false" ht="15" hidden="false" customHeight="false" outlineLevel="0" collapsed="false">
      <c r="B88" s="9" t="s">
        <v>114</v>
      </c>
      <c r="C88" s="15" t="n">
        <v>1.25</v>
      </c>
      <c r="D88" s="6" t="s">
        <v>75</v>
      </c>
    </row>
    <row r="89" customFormat="false" ht="15" hidden="false" customHeight="false" outlineLevel="0" collapsed="false">
      <c r="B89" s="9" t="s">
        <v>115</v>
      </c>
      <c r="C89" s="15" t="n">
        <v>1.1</v>
      </c>
      <c r="D89" s="6" t="s">
        <v>75</v>
      </c>
    </row>
    <row r="91" customFormat="false" ht="15" hidden="false" customHeight="false" outlineLevel="0" collapsed="false">
      <c r="B91" s="7" t="s">
        <v>116</v>
      </c>
      <c r="C91" s="8"/>
      <c r="D91" s="8"/>
    </row>
    <row r="92" customFormat="false" ht="15" hidden="false" customHeight="false" outlineLevel="0" collapsed="false">
      <c r="B92" s="9" t="s">
        <v>117</v>
      </c>
      <c r="C92" s="14" t="n">
        <v>0.4</v>
      </c>
      <c r="D92" s="6" t="s">
        <v>118</v>
      </c>
    </row>
    <row r="93" customFormat="false" ht="15" hidden="false" customHeight="false" outlineLevel="0" collapsed="false">
      <c r="B93" s="9" t="s">
        <v>119</v>
      </c>
      <c r="C93" s="13" t="n">
        <v>4</v>
      </c>
      <c r="D93" s="6" t="s">
        <v>120</v>
      </c>
    </row>
    <row r="94" customFormat="false" ht="15" hidden="false" customHeight="false" outlineLevel="0" collapsed="false">
      <c r="B94" s="9" t="s">
        <v>121</v>
      </c>
      <c r="C94" s="13" t="n">
        <v>5</v>
      </c>
      <c r="D94" s="6" t="s">
        <v>120</v>
      </c>
    </row>
    <row r="95" customFormat="false" ht="15" hidden="false" customHeight="false" outlineLevel="0" collapsed="false">
      <c r="B95" s="9" t="s">
        <v>122</v>
      </c>
      <c r="C95" s="17" t="n">
        <v>0.0075</v>
      </c>
      <c r="D95" s="6" t="s">
        <v>123</v>
      </c>
    </row>
    <row r="96" customFormat="false" ht="15" hidden="false" customHeight="false" outlineLevel="0" collapsed="false">
      <c r="B96" s="9" t="s">
        <v>124</v>
      </c>
      <c r="C96" s="15" t="n">
        <v>1.3</v>
      </c>
      <c r="D96" s="6" t="s">
        <v>125</v>
      </c>
    </row>
    <row r="97" customFormat="false" ht="15" hidden="false" customHeight="false" outlineLevel="0" collapsed="false">
      <c r="B97" s="9" t="s">
        <v>126</v>
      </c>
      <c r="C97" s="12" t="n">
        <v>0.1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O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8"/>
    <col collapsed="false" customWidth="true" hidden="false" outlineLevel="0" max="3" min="3" style="0" width="14"/>
    <col collapsed="false" customWidth="true" hidden="false" outlineLevel="0" max="15" min="4" style="0" width="11"/>
  </cols>
  <sheetData>
    <row r="1" customFormat="false" ht="6" hidden="false" customHeight="true" outlineLevel="0" collapsed="false"/>
    <row r="2" customFormat="false" ht="17.35" hidden="false" customHeight="false" outlineLevel="0" collapsed="false">
      <c r="B2" s="5" t="s">
        <v>127</v>
      </c>
    </row>
    <row r="3" customFormat="false" ht="15" hidden="false" customHeight="false" outlineLevel="0" collapsed="false">
      <c r="B3" s="6" t="s">
        <v>128</v>
      </c>
    </row>
    <row r="5" customFormat="false" ht="15" hidden="false" customHeight="false" outlineLevel="0" collapsed="false">
      <c r="B5" s="7" t="s">
        <v>129</v>
      </c>
      <c r="C5" s="8"/>
      <c r="D5" s="8"/>
      <c r="E5" s="8"/>
      <c r="F5" s="8"/>
      <c r="G5" s="8"/>
      <c r="H5" s="8"/>
      <c r="I5" s="8"/>
      <c r="J5" s="8"/>
      <c r="K5" s="8"/>
      <c r="L5" s="8"/>
      <c r="M5" s="8"/>
      <c r="N5" s="8"/>
      <c r="O5" s="8"/>
    </row>
    <row r="6" customFormat="false" ht="15" hidden="false" customHeight="false" outlineLevel="0" collapsed="false">
      <c r="B6" s="9" t="s">
        <v>130</v>
      </c>
      <c r="C6" s="18" t="str">
        <f aca="false">Inputs!$C$42</f>
        <v>renew</v>
      </c>
    </row>
    <row r="7" customFormat="false" ht="15" hidden="false" customHeight="false" outlineLevel="0" collapsed="false">
      <c r="B7" s="9" t="s">
        <v>131</v>
      </c>
      <c r="C7" s="19" t="n">
        <f aca="false">Inputs!$C$25</f>
        <v>0</v>
      </c>
    </row>
    <row r="8" customFormat="false" ht="15" hidden="false" customHeight="false" outlineLevel="0" collapsed="false">
      <c r="B8" s="9" t="s">
        <v>132</v>
      </c>
      <c r="C8" s="20" t="n">
        <f aca="false">Inputs!$C$32</f>
        <v>3</v>
      </c>
    </row>
    <row r="9" customFormat="false" ht="15" hidden="false" customHeight="false" outlineLevel="0" collapsed="false">
      <c r="B9" s="9" t="s">
        <v>133</v>
      </c>
      <c r="C9" s="13" t="n">
        <v>0</v>
      </c>
    </row>
    <row r="10" customFormat="false" ht="15" hidden="false" customHeight="false" outlineLevel="0" collapsed="false">
      <c r="B10" s="9" t="s">
        <v>134</v>
      </c>
      <c r="C10" s="21" t="n">
        <f aca="false">Inputs!$C$60</f>
        <v>0.45</v>
      </c>
    </row>
    <row r="11" customFormat="false" ht="15" hidden="false" customHeight="false" outlineLevel="0" collapsed="false">
      <c r="B11" s="9" t="s">
        <v>135</v>
      </c>
      <c r="C11" s="22" t="n">
        <f aca="false">Inputs!$C$61</f>
        <v>1.55</v>
      </c>
    </row>
    <row r="12" customFormat="false" ht="15" hidden="false" customHeight="false" outlineLevel="0" collapsed="false">
      <c r="B12" s="9" t="s">
        <v>136</v>
      </c>
      <c r="C12" s="23" t="n">
        <f aca="false">Inputs!$C$71</f>
        <v>0</v>
      </c>
    </row>
    <row r="13" customFormat="false" ht="15" hidden="false" customHeight="false" outlineLevel="0" collapsed="false">
      <c r="B13" s="9" t="s">
        <v>30</v>
      </c>
      <c r="C13" s="22" t="n">
        <f aca="false">Inputs!$C$18</f>
        <v>1.4</v>
      </c>
    </row>
    <row r="14" customFormat="false" ht="15" hidden="false" customHeight="false" outlineLevel="0" collapsed="false">
      <c r="B14" s="9" t="s">
        <v>137</v>
      </c>
      <c r="C14" s="19" t="n">
        <f aca="false">Inputs!$C$43</f>
        <v>0.9</v>
      </c>
    </row>
    <row r="15" customFormat="false" ht="15" hidden="false" customHeight="false" outlineLevel="0" collapsed="false">
      <c r="B15" s="9" t="s">
        <v>138</v>
      </c>
      <c r="C15" s="24" t="n">
        <f aca="false">Inputs!$C$49</f>
        <v>120</v>
      </c>
    </row>
    <row r="16" customFormat="false" ht="15" hidden="false" customHeight="false" outlineLevel="0" collapsed="false">
      <c r="B16" s="9" t="s">
        <v>139</v>
      </c>
      <c r="C16" s="24" t="n">
        <f aca="false">Inputs!$C$64</f>
        <v>900</v>
      </c>
    </row>
    <row r="17" customFormat="false" ht="15" hidden="false" customHeight="false" outlineLevel="0" collapsed="false">
      <c r="B17" s="9" t="s">
        <v>140</v>
      </c>
      <c r="C17" s="24" t="n">
        <f aca="false">Inputs!$C$6*1000*Inputs!$C$7*12*(1+Inputs!$C$8)^(Inputs!$C$9-1)/1000000</f>
        <v>60.8711509000706</v>
      </c>
    </row>
    <row r="18" customFormat="false" ht="15" hidden="false" customHeight="false" outlineLevel="0" collapsed="false">
      <c r="B18" s="25" t="s">
        <v>141</v>
      </c>
      <c r="C18" s="26"/>
      <c r="E18" s="26" t="n">
        <v>1</v>
      </c>
      <c r="F18" s="26" t="n">
        <v>2</v>
      </c>
      <c r="G18" s="26" t="n">
        <v>3</v>
      </c>
      <c r="H18" s="26" t="n">
        <v>4</v>
      </c>
      <c r="I18" s="26" t="n">
        <v>5</v>
      </c>
      <c r="J18" s="26" t="n">
        <v>6</v>
      </c>
      <c r="K18" s="26" t="n">
        <v>7</v>
      </c>
      <c r="L18" s="26" t="n">
        <v>8</v>
      </c>
      <c r="M18" s="26" t="n">
        <v>9</v>
      </c>
      <c r="N18" s="26" t="n">
        <v>10</v>
      </c>
      <c r="O18" s="26" t="n">
        <v>11</v>
      </c>
    </row>
    <row r="19" customFormat="false" ht="15" hidden="false" customHeight="false" outlineLevel="0" collapsed="false">
      <c r="B19" s="9" t="s">
        <v>142</v>
      </c>
      <c r="E19" s="24" t="n">
        <f aca="false">IF(E$18&lt;=Inputs!$C$22,Inputs!$C$21,Inputs!$C$23*(1+Inputs!$C$24)^(E$18-5)*IF(AND($C$7&lt;&gt;0,E$18&gt;=Inputs!$C$26),1+$C$7,1))</f>
        <v>61</v>
      </c>
      <c r="F19" s="24" t="n">
        <f aca="false">IF(F$18&lt;=Inputs!$C$22,Inputs!$C$21,Inputs!$C$23*(1+Inputs!$C$24)^(F$18-5)*IF(AND($C$7&lt;&gt;0,F$18&gt;=Inputs!$C$26),1+$C$7,1))</f>
        <v>61</v>
      </c>
      <c r="G19" s="24" t="n">
        <f aca="false">IF(G$18&lt;=Inputs!$C$22,Inputs!$C$21,Inputs!$C$23*(1+Inputs!$C$24)^(G$18-5)*IF(AND($C$7&lt;&gt;0,G$18&gt;=Inputs!$C$26),1+$C$7,1))</f>
        <v>61</v>
      </c>
      <c r="H19" s="24" t="n">
        <f aca="false">IF(H$18&lt;=Inputs!$C$22,Inputs!$C$21,Inputs!$C$23*(1+Inputs!$C$24)^(H$18-5)*IF(AND($C$7&lt;&gt;0,H$18&gt;=Inputs!$C$26),1+$C$7,1))</f>
        <v>61</v>
      </c>
      <c r="I19" s="24" t="n">
        <f aca="false">IF(I$18&lt;=Inputs!$C$22,Inputs!$C$21,Inputs!$C$23*(1+Inputs!$C$24)^(I$18-5)*IF(AND($C$7&lt;&gt;0,I$18&gt;=Inputs!$C$26),1+$C$7,1))</f>
        <v>67</v>
      </c>
      <c r="J19" s="24" t="n">
        <f aca="false">IF(J$18&lt;=Inputs!$C$22,Inputs!$C$21,Inputs!$C$23*(1+Inputs!$C$24)^(J$18-5)*IF(AND($C$7&lt;&gt;0,J$18&gt;=Inputs!$C$26),1+$C$7,1))</f>
        <v>68.675</v>
      </c>
      <c r="K19" s="24" t="n">
        <f aca="false">IF(K$18&lt;=Inputs!$C$22,Inputs!$C$21,Inputs!$C$23*(1+Inputs!$C$24)^(K$18-5)*IF(AND($C$7&lt;&gt;0,K$18&gt;=Inputs!$C$26),1+$C$7,1))</f>
        <v>70.391875</v>
      </c>
      <c r="L19" s="24" t="n">
        <f aca="false">IF(L$18&lt;=Inputs!$C$22,Inputs!$C$21,Inputs!$C$23*(1+Inputs!$C$24)^(L$18-5)*IF(AND($C$7&lt;&gt;0,L$18&gt;=Inputs!$C$26),1+$C$7,1))</f>
        <v>72.151671875</v>
      </c>
      <c r="M19" s="24" t="n">
        <f aca="false">IF(M$18&lt;=Inputs!$C$22,Inputs!$C$21,Inputs!$C$23*(1+Inputs!$C$24)^(M$18-5)*IF(AND($C$7&lt;&gt;0,M$18&gt;=Inputs!$C$26),1+$C$7,1))</f>
        <v>73.955463671875</v>
      </c>
      <c r="N19" s="24" t="n">
        <f aca="false">IF(N$18&lt;=Inputs!$C$22,Inputs!$C$21,Inputs!$C$23*(1+Inputs!$C$24)^(N$18-5)*IF(AND($C$7&lt;&gt;0,N$18&gt;=Inputs!$C$26),1+$C$7,1))</f>
        <v>75.8043502636718</v>
      </c>
      <c r="O19" s="24" t="n">
        <f aca="false">IF(O$18&lt;=Inputs!$C$22,Inputs!$C$21,Inputs!$C$23*(1+Inputs!$C$24)^(O$18-5)*IF(AND($C$7&lt;&gt;0,O$18&gt;=Inputs!$C$26),1+$C$7,1))</f>
        <v>77.6994590202636</v>
      </c>
    </row>
    <row r="20" customFormat="false" ht="15" hidden="false" customHeight="false" outlineLevel="0" collapsed="false">
      <c r="B20" s="9" t="s">
        <v>143</v>
      </c>
      <c r="E20" s="24" t="n">
        <f aca="false">Inputs!$C$19*(1+Inputs!$C$20)^(E$18-1)</f>
        <v>74</v>
      </c>
      <c r="F20" s="24" t="n">
        <f aca="false">Inputs!$C$19*(1+Inputs!$C$20)^(F$18-1)</f>
        <v>75.48</v>
      </c>
      <c r="G20" s="24" t="n">
        <f aca="false">Inputs!$C$19*(1+Inputs!$C$20)^(G$18-1)</f>
        <v>76.9896</v>
      </c>
      <c r="H20" s="24" t="n">
        <f aca="false">Inputs!$C$19*(1+Inputs!$C$20)^(H$18-1)</f>
        <v>78.529392</v>
      </c>
      <c r="I20" s="24" t="n">
        <f aca="false">Inputs!$C$19*(1+Inputs!$C$20)^(I$18-1)</f>
        <v>80.09997984</v>
      </c>
      <c r="J20" s="24" t="n">
        <f aca="false">Inputs!$C$19*(1+Inputs!$C$20)^(J$18-1)</f>
        <v>81.7019794368</v>
      </c>
      <c r="K20" s="24" t="n">
        <f aca="false">Inputs!$C$19*(1+Inputs!$C$20)^(K$18-1)</f>
        <v>83.336019025536</v>
      </c>
      <c r="L20" s="24" t="n">
        <f aca="false">Inputs!$C$19*(1+Inputs!$C$20)^(L$18-1)</f>
        <v>85.0027394060467</v>
      </c>
      <c r="M20" s="24" t="n">
        <f aca="false">Inputs!$C$19*(1+Inputs!$C$20)^(M$18-1)</f>
        <v>86.7027941941677</v>
      </c>
      <c r="N20" s="24" t="n">
        <f aca="false">Inputs!$C$19*(1+Inputs!$C$20)^(N$18-1)</f>
        <v>88.436850078051</v>
      </c>
      <c r="O20" s="24" t="n">
        <f aca="false">Inputs!$C$19*(1+Inputs!$C$20)^(O$18-1)</f>
        <v>90.205587079612</v>
      </c>
    </row>
    <row r="21" customFormat="false" ht="15" hidden="false" customHeight="false" outlineLevel="0" collapsed="false">
      <c r="B21" s="9" t="s">
        <v>144</v>
      </c>
      <c r="E21" s="27" t="n">
        <f aca="false">(1+Inputs!$C$11)^(E$18-1)</f>
        <v>1</v>
      </c>
      <c r="F21" s="27" t="n">
        <f aca="false">(1+Inputs!$C$11)^(F$18-1)</f>
        <v>1.03</v>
      </c>
      <c r="G21" s="27" t="n">
        <f aca="false">(1+Inputs!$C$11)^(G$18-1)</f>
        <v>1.0609</v>
      </c>
      <c r="H21" s="27" t="n">
        <f aca="false">(1+Inputs!$C$11)^(H$18-1)</f>
        <v>1.092727</v>
      </c>
      <c r="I21" s="27" t="n">
        <f aca="false">(1+Inputs!$C$11)^(I$18-1)</f>
        <v>1.12550881</v>
      </c>
      <c r="J21" s="27" t="n">
        <f aca="false">(1+Inputs!$C$11)^(J$18-1)</f>
        <v>1.1592740743</v>
      </c>
      <c r="K21" s="27" t="n">
        <f aca="false">(1+Inputs!$C$11)^(K$18-1)</f>
        <v>1.194052296529</v>
      </c>
      <c r="L21" s="27" t="n">
        <f aca="false">(1+Inputs!$C$11)^(L$18-1)</f>
        <v>1.22987386542487</v>
      </c>
      <c r="M21" s="27" t="n">
        <f aca="false">(1+Inputs!$C$11)^(M$18-1)</f>
        <v>1.26677008138762</v>
      </c>
      <c r="N21" s="27" t="n">
        <f aca="false">(1+Inputs!$C$11)^(N$18-1)</f>
        <v>1.30477318382925</v>
      </c>
      <c r="O21" s="27" t="n">
        <f aca="false">(1+Inputs!$C$11)^(O$18-1)</f>
        <v>1.34391637934412</v>
      </c>
    </row>
    <row r="22" customFormat="false" ht="15" hidden="false" customHeight="false" outlineLevel="0" collapsed="false">
      <c r="B22" s="9" t="s">
        <v>145</v>
      </c>
      <c r="E22" s="19" t="n">
        <f aca="false">IF(OR(E$18&lt;=Inputs!$C$9,$C$6="renew"),IF(AND($C$9&gt;0,E$18&gt;=$C$9),$C$10,Inputs!$C$16),IF($C$6="stranded",0,Inputs!$C$16))</f>
        <v>0.8</v>
      </c>
      <c r="F22" s="19" t="n">
        <f aca="false">IF(OR(F$18&lt;=Inputs!$C$9,$C$6="renew"),IF(AND($C$9&gt;0,F$18&gt;=$C$9),$C$10,Inputs!$C$16),IF($C$6="stranded",0,Inputs!$C$16))</f>
        <v>0.8</v>
      </c>
      <c r="G22" s="19" t="n">
        <f aca="false">IF(OR(G$18&lt;=Inputs!$C$9,$C$6="renew"),IF(AND($C$9&gt;0,G$18&gt;=$C$9),$C$10,Inputs!$C$16),IF($C$6="stranded",0,Inputs!$C$16))</f>
        <v>0.8</v>
      </c>
      <c r="H22" s="19" t="n">
        <f aca="false">IF(OR(H$18&lt;=Inputs!$C$9,$C$6="renew"),IF(AND($C$9&gt;0,H$18&gt;=$C$9),$C$10,Inputs!$C$16),IF($C$6="stranded",0,Inputs!$C$16))</f>
        <v>0.8</v>
      </c>
      <c r="I22" s="19" t="n">
        <f aca="false">IF(OR(I$18&lt;=Inputs!$C$9,$C$6="renew"),IF(AND($C$9&gt;0,I$18&gt;=$C$9),$C$10,Inputs!$C$16),IF($C$6="stranded",0,Inputs!$C$16))</f>
        <v>0.8</v>
      </c>
      <c r="J22" s="19" t="n">
        <f aca="false">IF(OR(J$18&lt;=Inputs!$C$9,$C$6="renew"),IF(AND($C$9&gt;0,J$18&gt;=$C$9),$C$10,Inputs!$C$16),IF($C$6="stranded",0,Inputs!$C$16))</f>
        <v>0.8</v>
      </c>
      <c r="K22" s="19" t="n">
        <f aca="false">IF(OR(K$18&lt;=Inputs!$C$9,$C$6="renew"),IF(AND($C$9&gt;0,K$18&gt;=$C$9),$C$10,Inputs!$C$16),IF($C$6="stranded",0,Inputs!$C$16))</f>
        <v>0.8</v>
      </c>
      <c r="L22" s="19" t="n">
        <f aca="false">IF(OR(L$18&lt;=Inputs!$C$9,$C$6="renew"),IF(AND($C$9&gt;0,L$18&gt;=$C$9),$C$10,Inputs!$C$16),IF($C$6="stranded",0,Inputs!$C$16))</f>
        <v>0.8</v>
      </c>
      <c r="M22" s="19" t="n">
        <f aca="false">IF(OR(M$18&lt;=Inputs!$C$9,$C$6="renew"),IF(AND($C$9&gt;0,M$18&gt;=$C$9),$C$10,Inputs!$C$16),IF($C$6="stranded",0,Inputs!$C$16))</f>
        <v>0.8</v>
      </c>
      <c r="N22" s="19" t="n">
        <f aca="false">IF(OR(N$18&lt;=Inputs!$C$9,$C$6="renew"),IF(AND($C$9&gt;0,N$18&gt;=$C$9),$C$10,Inputs!$C$16),IF($C$6="stranded",0,Inputs!$C$16))</f>
        <v>0.8</v>
      </c>
      <c r="O22" s="19" t="n">
        <f aca="false">IF(OR(O$18&lt;=Inputs!$C$9,$C$6="renew"),IF(AND($C$9&gt;0,O$18&gt;=$C$9),$C$10,Inputs!$C$16),IF($C$6="stranded",0,Inputs!$C$16))</f>
        <v>0.8</v>
      </c>
    </row>
    <row r="23" customFormat="false" ht="15" hidden="false" customHeight="false" outlineLevel="0" collapsed="false">
      <c r="B23" s="9" t="s">
        <v>146</v>
      </c>
      <c r="E23" s="22" t="n">
        <f aca="false">IF(OR(E$18&lt;=Inputs!$C$9,$C$6="renew"),IF(AND($C$9&gt;0,E$18&gt;=$C$9),$C$11,$C$13),IF($C$6="retrofit",Inputs!$C$47,IF($C$6="relet",Inputs!$C$53,0)))</f>
        <v>1.4</v>
      </c>
      <c r="F23" s="22" t="n">
        <f aca="false">IF(OR(F$18&lt;=Inputs!$C$9,$C$6="renew"),IF(AND($C$9&gt;0,F$18&gt;=$C$9),$C$11,$C$13),IF($C$6="retrofit",Inputs!$C$47,IF($C$6="relet",Inputs!$C$53,0)))</f>
        <v>1.4</v>
      </c>
      <c r="G23" s="22" t="n">
        <f aca="false">IF(OR(G$18&lt;=Inputs!$C$9,$C$6="renew"),IF(AND($C$9&gt;0,G$18&gt;=$C$9),$C$11,$C$13),IF($C$6="retrofit",Inputs!$C$47,IF($C$6="relet",Inputs!$C$53,0)))</f>
        <v>1.4</v>
      </c>
      <c r="H23" s="22" t="n">
        <f aca="false">IF(OR(H$18&lt;=Inputs!$C$9,$C$6="renew"),IF(AND($C$9&gt;0,H$18&gt;=$C$9),$C$11,$C$13),IF($C$6="retrofit",Inputs!$C$47,IF($C$6="relet",Inputs!$C$53,0)))</f>
        <v>1.4</v>
      </c>
      <c r="I23" s="22" t="n">
        <f aca="false">IF(OR(I$18&lt;=Inputs!$C$9,$C$6="renew"),IF(AND($C$9&gt;0,I$18&gt;=$C$9),$C$11,$C$13),IF($C$6="retrofit",Inputs!$C$47,IF($C$6="relet",Inputs!$C$53,0)))</f>
        <v>1.4</v>
      </c>
      <c r="J23" s="22" t="n">
        <f aca="false">IF(OR(J$18&lt;=Inputs!$C$9,$C$6="renew"),IF(AND($C$9&gt;0,J$18&gt;=$C$9),$C$11,$C$13),IF($C$6="retrofit",Inputs!$C$47,IF($C$6="relet",Inputs!$C$53,0)))</f>
        <v>1.4</v>
      </c>
      <c r="K23" s="22" t="n">
        <f aca="false">IF(OR(K$18&lt;=Inputs!$C$9,$C$6="renew"),IF(AND($C$9&gt;0,K$18&gt;=$C$9),$C$11,$C$13),IF($C$6="retrofit",Inputs!$C$47,IF($C$6="relet",Inputs!$C$53,0)))</f>
        <v>1.4</v>
      </c>
      <c r="L23" s="22" t="n">
        <f aca="false">IF(OR(L$18&lt;=Inputs!$C$9,$C$6="renew"),IF(AND($C$9&gt;0,L$18&gt;=$C$9),$C$11,$C$13),IF($C$6="retrofit",Inputs!$C$47,IF($C$6="relet",Inputs!$C$53,0)))</f>
        <v>1.4</v>
      </c>
      <c r="M23" s="22" t="n">
        <f aca="false">IF(OR(M$18&lt;=Inputs!$C$9,$C$6="renew"),IF(AND($C$9&gt;0,M$18&gt;=$C$9),$C$11,$C$13),IF($C$6="retrofit",Inputs!$C$47,IF($C$6="relet",Inputs!$C$53,0)))</f>
        <v>1.4</v>
      </c>
      <c r="N23" s="22" t="n">
        <f aca="false">IF(OR(N$18&lt;=Inputs!$C$9,$C$6="renew"),IF(AND($C$9&gt;0,N$18&gt;=$C$9),$C$11,$C$13),IF($C$6="retrofit",Inputs!$C$47,IF($C$6="relet",Inputs!$C$53,0)))</f>
        <v>1.4</v>
      </c>
      <c r="O23" s="22" t="n">
        <f aca="false">IF(OR(O$18&lt;=Inputs!$C$9,$C$6="renew"),IF(AND($C$9&gt;0,O$18&gt;=$C$9),$C$11,$C$13),IF($C$6="retrofit",Inputs!$C$47,IF($C$6="relet",Inputs!$C$53,0)))</f>
        <v>1.4</v>
      </c>
    </row>
    <row r="24" customFormat="false" ht="15" hidden="false" customHeight="false" outlineLevel="0" collapsed="false">
      <c r="B24" s="9" t="s">
        <v>147</v>
      </c>
      <c r="E24" s="21" t="n">
        <f aca="false">IF(OR(E$18&lt;=Inputs!$C$9,$C$6="renew"),1,IF($C$6="retrofit",IF(E$18-Inputs!$C$9=1,0,1),IF($C$6="relet",CHOOSE(MIN(E$18-Inputs!$C$9,3),Inputs!$C$50,Inputs!$C$51,Inputs!$C$52),0)))</f>
        <v>1</v>
      </c>
      <c r="F24" s="21" t="n">
        <f aca="false">IF(OR(F$18&lt;=Inputs!$C$9,$C$6="renew"),1,IF($C$6="retrofit",IF(F$18-Inputs!$C$9=1,0,1),IF($C$6="relet",CHOOSE(MIN(F$18-Inputs!$C$9,3),Inputs!$C$50,Inputs!$C$51,Inputs!$C$52),0)))</f>
        <v>1</v>
      </c>
      <c r="G24" s="21" t="n">
        <f aca="false">IF(OR(G$18&lt;=Inputs!$C$9,$C$6="renew"),1,IF($C$6="retrofit",IF(G$18-Inputs!$C$9=1,0,1),IF($C$6="relet",CHOOSE(MIN(G$18-Inputs!$C$9,3),Inputs!$C$50,Inputs!$C$51,Inputs!$C$52),0)))</f>
        <v>1</v>
      </c>
      <c r="H24" s="21" t="n">
        <f aca="false">IF(OR(H$18&lt;=Inputs!$C$9,$C$6="renew"),1,IF($C$6="retrofit",IF(H$18-Inputs!$C$9=1,0,1),IF($C$6="relet",CHOOSE(MIN(H$18-Inputs!$C$9,3),Inputs!$C$50,Inputs!$C$51,Inputs!$C$52),0)))</f>
        <v>1</v>
      </c>
      <c r="I24" s="21" t="n">
        <f aca="false">IF(OR(I$18&lt;=Inputs!$C$9,$C$6="renew"),1,IF($C$6="retrofit",IF(I$18-Inputs!$C$9=1,0,1),IF($C$6="relet",CHOOSE(MIN(I$18-Inputs!$C$9,3),Inputs!$C$50,Inputs!$C$51,Inputs!$C$52),0)))</f>
        <v>1</v>
      </c>
      <c r="J24" s="21" t="n">
        <f aca="false">IF(OR(J$18&lt;=Inputs!$C$9,$C$6="renew"),1,IF($C$6="retrofit",IF(J$18-Inputs!$C$9=1,0,1),IF($C$6="relet",CHOOSE(MIN(J$18-Inputs!$C$9,3),Inputs!$C$50,Inputs!$C$51,Inputs!$C$52),0)))</f>
        <v>1</v>
      </c>
      <c r="K24" s="21" t="n">
        <f aca="false">IF(OR(K$18&lt;=Inputs!$C$9,$C$6="renew"),1,IF($C$6="retrofit",IF(K$18-Inputs!$C$9=1,0,1),IF($C$6="relet",CHOOSE(MIN(K$18-Inputs!$C$9,3),Inputs!$C$50,Inputs!$C$51,Inputs!$C$52),0)))</f>
        <v>1</v>
      </c>
      <c r="L24" s="21" t="n">
        <f aca="false">IF(OR(L$18&lt;=Inputs!$C$9,$C$6="renew"),1,IF($C$6="retrofit",IF(L$18-Inputs!$C$9=1,0,1),IF($C$6="relet",CHOOSE(MIN(L$18-Inputs!$C$9,3),Inputs!$C$50,Inputs!$C$51,Inputs!$C$52),0)))</f>
        <v>1</v>
      </c>
      <c r="M24" s="21" t="n">
        <f aca="false">IF(OR(M$18&lt;=Inputs!$C$9,$C$6="renew"),1,IF($C$6="retrofit",IF(M$18-Inputs!$C$9=1,0,1),IF($C$6="relet",CHOOSE(MIN(M$18-Inputs!$C$9,3),Inputs!$C$50,Inputs!$C$51,Inputs!$C$52),0)))</f>
        <v>1</v>
      </c>
      <c r="N24" s="21" t="n">
        <f aca="false">IF(OR(N$18&lt;=Inputs!$C$9,$C$6="renew"),1,IF($C$6="retrofit",IF(N$18-Inputs!$C$9=1,0,1),IF($C$6="relet",CHOOSE(MIN(N$18-Inputs!$C$9,3),Inputs!$C$50,Inputs!$C$51,Inputs!$C$52),0)))</f>
        <v>1</v>
      </c>
      <c r="O24" s="21" t="n">
        <f aca="false">IF(OR(O$18&lt;=Inputs!$C$9,$C$6="renew"),1,IF($C$6="retrofit",IF(O$18-Inputs!$C$9=1,0,1),IF($C$6="relet",CHOOSE(MIN(O$18-Inputs!$C$9,3),Inputs!$C$50,Inputs!$C$51,Inputs!$C$52),0)))</f>
        <v>1</v>
      </c>
    </row>
    <row r="25" customFormat="false" ht="15" hidden="false" customHeight="false" outlineLevel="0" collapsed="false">
      <c r="B25" s="9" t="s">
        <v>148</v>
      </c>
      <c r="E25" s="28" t="n">
        <f aca="false">Inputs!$C$6*1000*E22*E24*8760/1000</f>
        <v>224256</v>
      </c>
      <c r="F25" s="28" t="n">
        <f aca="false">Inputs!$C$6*1000*F22*F24*8760/1000</f>
        <v>224256</v>
      </c>
      <c r="G25" s="28" t="n">
        <f aca="false">Inputs!$C$6*1000*G22*G24*8760/1000</f>
        <v>224256</v>
      </c>
      <c r="H25" s="28" t="n">
        <f aca="false">Inputs!$C$6*1000*H22*H24*8760/1000</f>
        <v>224256</v>
      </c>
      <c r="I25" s="28" t="n">
        <f aca="false">Inputs!$C$6*1000*I22*I24*8760/1000</f>
        <v>224256</v>
      </c>
      <c r="J25" s="28" t="n">
        <f aca="false">Inputs!$C$6*1000*J22*J24*8760/1000</f>
        <v>224256</v>
      </c>
      <c r="K25" s="28" t="n">
        <f aca="false">Inputs!$C$6*1000*K22*K24*8760/1000</f>
        <v>224256</v>
      </c>
      <c r="L25" s="28" t="n">
        <f aca="false">Inputs!$C$6*1000*L22*L24*8760/1000</f>
        <v>224256</v>
      </c>
      <c r="M25" s="28" t="n">
        <f aca="false">Inputs!$C$6*1000*M22*M24*8760/1000</f>
        <v>224256</v>
      </c>
      <c r="N25" s="28" t="n">
        <f aca="false">Inputs!$C$6*1000*N22*N24*8760/1000</f>
        <v>224256</v>
      </c>
      <c r="O25" s="28" t="n">
        <f aca="false">Inputs!$C$6*1000*O22*O24*8760/1000</f>
        <v>224256</v>
      </c>
    </row>
    <row r="26" customFormat="false" ht="15" hidden="false" customHeight="false" outlineLevel="0" collapsed="false">
      <c r="B26" s="9" t="s">
        <v>149</v>
      </c>
      <c r="E26" s="24" t="n">
        <f aca="false">IF(E$18&lt;=Inputs!$C$9,Inputs!$C$6*1000*Inputs!$C$7*12*(1+Inputs!$C$8)^(E$18-1)/1000000,IF($C$6="renew",$C$17*$C$14*(1+Inputs!$C$8)^(E$18-Inputs!$C$9-1),IF($C$6="retrofit",IF(E$18-Inputs!$C$9=1,0,Inputs!$C$6*1000*Inputs!$C$46*12*(1+Inputs!$C$8)^(E$18-Inputs!$C$9-2)/1000000),IF($C$6="relet",Inputs!$C$6*1000*E24*$C$15*12*(1+Inputs!$C$8)^(E$18-Inputs!$C$9-2)/1000000,0))))</f>
        <v>52.992</v>
      </c>
      <c r="F26" s="24" t="n">
        <f aca="false">IF(F$18&lt;=Inputs!$C$9,Inputs!$C$6*1000*Inputs!$C$7*12*(1+Inputs!$C$8)^(F$18-1)/1000000,IF($C$6="renew",$C$17*$C$14*(1+Inputs!$C$8)^(F$18-Inputs!$C$9-1),IF($C$6="retrofit",IF(F$18-Inputs!$C$9=1,0,Inputs!$C$6*1000*Inputs!$C$46*12*(1+Inputs!$C$8)^(F$18-Inputs!$C$9-2)/1000000),IF($C$6="relet",Inputs!$C$6*1000*F24*$C$15*12*(1+Inputs!$C$8)^(F$18-Inputs!$C$9-2)/1000000,0))))</f>
        <v>54.05184</v>
      </c>
      <c r="G26" s="24" t="n">
        <f aca="false">IF(G$18&lt;=Inputs!$C$9,Inputs!$C$6*1000*Inputs!$C$7*12*(1+Inputs!$C$8)^(G$18-1)/1000000,IF($C$6="renew",$C$17*$C$14*(1+Inputs!$C$8)^(G$18-Inputs!$C$9-1),IF($C$6="retrofit",IF(G$18-Inputs!$C$9=1,0,Inputs!$C$6*1000*Inputs!$C$46*12*(1+Inputs!$C$8)^(G$18-Inputs!$C$9-2)/1000000),IF($C$6="relet",Inputs!$C$6*1000*G24*$C$15*12*(1+Inputs!$C$8)^(G$18-Inputs!$C$9-2)/1000000,0))))</f>
        <v>55.1328768</v>
      </c>
      <c r="H26" s="24" t="n">
        <f aca="false">IF(H$18&lt;=Inputs!$C$9,Inputs!$C$6*1000*Inputs!$C$7*12*(1+Inputs!$C$8)^(H$18-1)/1000000,IF($C$6="renew",$C$17*$C$14*(1+Inputs!$C$8)^(H$18-Inputs!$C$9-1),IF($C$6="retrofit",IF(H$18-Inputs!$C$9=1,0,Inputs!$C$6*1000*Inputs!$C$46*12*(1+Inputs!$C$8)^(H$18-Inputs!$C$9-2)/1000000),IF($C$6="relet",Inputs!$C$6*1000*H24*$C$15*12*(1+Inputs!$C$8)^(H$18-Inputs!$C$9-2)/1000000,0))))</f>
        <v>56.235534336</v>
      </c>
      <c r="I26" s="24" t="n">
        <f aca="false">IF(I$18&lt;=Inputs!$C$9,Inputs!$C$6*1000*Inputs!$C$7*12*(1+Inputs!$C$8)^(I$18-1)/1000000,IF($C$6="renew",$C$17*$C$14*(1+Inputs!$C$8)^(I$18-Inputs!$C$9-1),IF($C$6="retrofit",IF(I$18-Inputs!$C$9=1,0,Inputs!$C$6*1000*Inputs!$C$46*12*(1+Inputs!$C$8)^(I$18-Inputs!$C$9-2)/1000000),IF($C$6="relet",Inputs!$C$6*1000*I24*$C$15*12*(1+Inputs!$C$8)^(I$18-Inputs!$C$9-2)/1000000,0))))</f>
        <v>57.36024502272</v>
      </c>
      <c r="J26" s="24" t="n">
        <f aca="false">IF(J$18&lt;=Inputs!$C$9,Inputs!$C$6*1000*Inputs!$C$7*12*(1+Inputs!$C$8)^(J$18-1)/1000000,IF($C$6="renew",$C$17*$C$14*(1+Inputs!$C$8)^(J$18-Inputs!$C$9-1),IF($C$6="retrofit",IF(J$18-Inputs!$C$9=1,0,Inputs!$C$6*1000*Inputs!$C$46*12*(1+Inputs!$C$8)^(J$18-Inputs!$C$9-2)/1000000),IF($C$6="relet",Inputs!$C$6*1000*J24*$C$15*12*(1+Inputs!$C$8)^(J$18-Inputs!$C$9-2)/1000000,0))))</f>
        <v>58.5074499231744</v>
      </c>
      <c r="K26" s="24" t="n">
        <f aca="false">IF(K$18&lt;=Inputs!$C$9,Inputs!$C$6*1000*Inputs!$C$7*12*(1+Inputs!$C$8)^(K$18-1)/1000000,IF($C$6="renew",$C$17*$C$14*(1+Inputs!$C$8)^(K$18-Inputs!$C$9-1),IF($C$6="retrofit",IF(K$18-Inputs!$C$9=1,0,Inputs!$C$6*1000*Inputs!$C$46*12*(1+Inputs!$C$8)^(K$18-Inputs!$C$9-2)/1000000),IF($C$6="relet",Inputs!$C$6*1000*K24*$C$15*12*(1+Inputs!$C$8)^(K$18-Inputs!$C$9-2)/1000000,0))))</f>
        <v>59.6775989216379</v>
      </c>
      <c r="L26" s="24" t="n">
        <f aca="false">IF(L$18&lt;=Inputs!$C$9,Inputs!$C$6*1000*Inputs!$C$7*12*(1+Inputs!$C$8)^(L$18-1)/1000000,IF($C$6="renew",$C$17*$C$14*(1+Inputs!$C$8)^(L$18-Inputs!$C$9-1),IF($C$6="retrofit",IF(L$18-Inputs!$C$9=1,0,Inputs!$C$6*1000*Inputs!$C$46*12*(1+Inputs!$C$8)^(L$18-Inputs!$C$9-2)/1000000),IF($C$6="relet",Inputs!$C$6*1000*L24*$C$15*12*(1+Inputs!$C$8)^(L$18-Inputs!$C$9-2)/1000000,0))))</f>
        <v>60.8711509000706</v>
      </c>
      <c r="M26" s="24" t="n">
        <f aca="false">IF(M$18&lt;=Inputs!$C$9,Inputs!$C$6*1000*Inputs!$C$7*12*(1+Inputs!$C$8)^(M$18-1)/1000000,IF($C$6="renew",$C$17*$C$14*(1+Inputs!$C$8)^(M$18-Inputs!$C$9-1),IF($C$6="retrofit",IF(M$18-Inputs!$C$9=1,0,Inputs!$C$6*1000*Inputs!$C$46*12*(1+Inputs!$C$8)^(M$18-Inputs!$C$9-2)/1000000),IF($C$6="relet",Inputs!$C$6*1000*M24*$C$15*12*(1+Inputs!$C$8)^(M$18-Inputs!$C$9-2)/1000000,0))))</f>
        <v>54.7840358100636</v>
      </c>
      <c r="N26" s="24" t="n">
        <f aca="false">IF(N$18&lt;=Inputs!$C$9,Inputs!$C$6*1000*Inputs!$C$7*12*(1+Inputs!$C$8)^(N$18-1)/1000000,IF($C$6="renew",$C$17*$C$14*(1+Inputs!$C$8)^(N$18-Inputs!$C$9-1),IF($C$6="retrofit",IF(N$18-Inputs!$C$9=1,0,Inputs!$C$6*1000*Inputs!$C$46*12*(1+Inputs!$C$8)^(N$18-Inputs!$C$9-2)/1000000),IF($C$6="relet",Inputs!$C$6*1000*N24*$C$15*12*(1+Inputs!$C$8)^(N$18-Inputs!$C$9-2)/1000000,0))))</f>
        <v>55.8797165262649</v>
      </c>
      <c r="O26" s="24" t="n">
        <f aca="false">IF(O$18&lt;=Inputs!$C$9,Inputs!$C$6*1000*Inputs!$C$7*12*(1+Inputs!$C$8)^(O$18-1)/1000000,IF($C$6="renew",$C$17*$C$14*(1+Inputs!$C$8)^(O$18-Inputs!$C$9-1),IF($C$6="retrofit",IF(O$18-Inputs!$C$9=1,0,Inputs!$C$6*1000*Inputs!$C$46*12*(1+Inputs!$C$8)^(O$18-Inputs!$C$9-2)/1000000),IF($C$6="relet",Inputs!$C$6*1000*O24*$C$15*12*(1+Inputs!$C$8)^(O$18-Inputs!$C$9-2)/1000000,0))))</f>
        <v>56.9973108567902</v>
      </c>
    </row>
    <row r="27" customFormat="false" ht="15" hidden="false" customHeight="false" outlineLevel="0" collapsed="false">
      <c r="B27" s="9" t="s">
        <v>150</v>
      </c>
      <c r="E27" s="24" t="n">
        <f aca="false">IF(OR(E$18&lt;=Inputs!$C$9,$C$6="renew"),E25*(Inputs!$C$17*E20-E23*E19)/1000000,E25*E23*Inputs!$C$27/1000000)</f>
        <v>2.4219648</v>
      </c>
      <c r="F27" s="24" t="n">
        <f aca="false">IF(OR(F$18&lt;=Inputs!$C$9,$C$6="renew"),F25*(Inputs!$C$17*F20-F23*F19)/1000000,F25*F23*Inputs!$C$27/1000000)</f>
        <v>2.853433344</v>
      </c>
      <c r="G27" s="24" t="n">
        <f aca="false">IF(OR(G$18&lt;=Inputs!$C$9,$C$6="renew"),G25*(Inputs!$C$17*G20-G23*G19)/1000000,G25*G23*Inputs!$C$27/1000000)</f>
        <v>3.29353125888</v>
      </c>
      <c r="H27" s="24" t="n">
        <f aca="false">IF(OR(H$18&lt;=Inputs!$C$9,$C$6="renew"),H25*(Inputs!$C$17*H20-H23*H19)/1000000,H25*H23*Inputs!$C$27/1000000)</f>
        <v>3.74243113205761</v>
      </c>
      <c r="I27" s="24" t="n">
        <f aca="false">IF(OR(I$18&lt;=Inputs!$C$9,$C$6="renew"),I25*(Inputs!$C$17*I20-I23*I19)/1000000,I25*I23*Inputs!$C$27/1000000)</f>
        <v>2.31655860269875</v>
      </c>
      <c r="J27" s="24" t="n">
        <f aca="false">IF(OR(J$18&lt;=Inputs!$C$9,$C$6="renew"),J25*(Inputs!$C$17*J20-J23*J19)/1000000,J25*J23*Inputs!$C$27/1000000)</f>
        <v>2.25771371075273</v>
      </c>
      <c r="K27" s="24" t="n">
        <f aca="false">IF(OR(K$18&lt;=Inputs!$C$9,$C$6="renew"),K25*(Inputs!$C$17*K20-K23*K19)/1000000,K25*K23*Inputs!$C$27/1000000)</f>
        <v>2.19506251936779</v>
      </c>
      <c r="L27" s="24" t="n">
        <f aca="false">IF(OR(L$18&lt;=Inputs!$C$9,$C$6="renew"),L25*(Inputs!$C$17*L20-L23*L19)/1000000,L25*L23*Inputs!$C$27/1000000)</f>
        <v>2.12846316751515</v>
      </c>
      <c r="M27" s="24" t="n">
        <f aca="false">IF(OR(M$18&lt;=Inputs!$C$9,$C$6="renew"),M25*(Inputs!$C$17*M20-M23*M19)/1000000,M25*M23*Inputs!$C$27/1000000)</f>
        <v>2.05776931356946</v>
      </c>
      <c r="N27" s="24" t="n">
        <f aca="false">IF(OR(N$18&lt;=Inputs!$C$9,$C$6="renew"),N25*(Inputs!$C$17*N20-N23*N19)/1000000,N25*N23*Inputs!$C$27/1000000)</f>
        <v>1.98283000461245</v>
      </c>
      <c r="O27" s="24" t="n">
        <f aca="false">IF(OR(O$18&lt;=Inputs!$C$9,$C$6="renew"),O25*(Inputs!$C$17*O20-O23*O19)/1000000,O25*O23*Inputs!$C$27/1000000)</f>
        <v>1.90348954209559</v>
      </c>
    </row>
    <row r="28" customFormat="false" ht="15" hidden="false" customHeight="false" outlineLevel="0" collapsed="false">
      <c r="B28" s="9" t="s">
        <v>151</v>
      </c>
      <c r="E28" s="24" t="n">
        <f aca="false">Inputs!$C$10*E21*IF(OR(E$18&lt;=Inputs!$C$9,$C$6="renew"),1,IF($C$6="retrofit",IF(E$18-Inputs!$C$9=1,Inputs!$C$48,1),IF($C$6="relet",Inputs!$C$54,Inputs!$C$56)))</f>
        <v>4.1</v>
      </c>
      <c r="F28" s="24" t="n">
        <f aca="false">Inputs!$C$10*F21*IF(OR(F$18&lt;=Inputs!$C$9,$C$6="renew"),1,IF($C$6="retrofit",IF(F$18-Inputs!$C$9=1,Inputs!$C$48,1),IF($C$6="relet",Inputs!$C$54,Inputs!$C$56)))</f>
        <v>4.223</v>
      </c>
      <c r="G28" s="24" t="n">
        <f aca="false">Inputs!$C$10*G21*IF(OR(G$18&lt;=Inputs!$C$9,$C$6="renew"),1,IF($C$6="retrofit",IF(G$18-Inputs!$C$9=1,Inputs!$C$48,1),IF($C$6="relet",Inputs!$C$54,Inputs!$C$56)))</f>
        <v>4.34969</v>
      </c>
      <c r="H28" s="24" t="n">
        <f aca="false">Inputs!$C$10*H21*IF(OR(H$18&lt;=Inputs!$C$9,$C$6="renew"),1,IF($C$6="retrofit",IF(H$18-Inputs!$C$9=1,Inputs!$C$48,1),IF($C$6="relet",Inputs!$C$54,Inputs!$C$56)))</f>
        <v>4.4801807</v>
      </c>
      <c r="I28" s="24" t="n">
        <f aca="false">Inputs!$C$10*I21*IF(OR(I$18&lt;=Inputs!$C$9,$C$6="renew"),1,IF($C$6="retrofit",IF(I$18-Inputs!$C$9=1,Inputs!$C$48,1),IF($C$6="relet",Inputs!$C$54,Inputs!$C$56)))</f>
        <v>4.614586121</v>
      </c>
      <c r="J28" s="24" t="n">
        <f aca="false">Inputs!$C$10*J21*IF(OR(J$18&lt;=Inputs!$C$9,$C$6="renew"),1,IF($C$6="retrofit",IF(J$18-Inputs!$C$9=1,Inputs!$C$48,1),IF($C$6="relet",Inputs!$C$54,Inputs!$C$56)))</f>
        <v>4.75302370463</v>
      </c>
      <c r="K28" s="24" t="n">
        <f aca="false">Inputs!$C$10*K21*IF(OR(K$18&lt;=Inputs!$C$9,$C$6="renew"),1,IF($C$6="retrofit",IF(K$18-Inputs!$C$9=1,Inputs!$C$48,1),IF($C$6="relet",Inputs!$C$54,Inputs!$C$56)))</f>
        <v>4.8956144157689</v>
      </c>
      <c r="L28" s="24" t="n">
        <f aca="false">Inputs!$C$10*L21*IF(OR(L$18&lt;=Inputs!$C$9,$C$6="renew"),1,IF($C$6="retrofit",IF(L$18-Inputs!$C$9=1,Inputs!$C$48,1),IF($C$6="relet",Inputs!$C$54,Inputs!$C$56)))</f>
        <v>5.04248284824197</v>
      </c>
      <c r="M28" s="24" t="n">
        <f aca="false">Inputs!$C$10*M21*IF(OR(M$18&lt;=Inputs!$C$9,$C$6="renew"),1,IF($C$6="retrofit",IF(M$18-Inputs!$C$9=1,Inputs!$C$48,1),IF($C$6="relet",Inputs!$C$54,Inputs!$C$56)))</f>
        <v>5.19375733368923</v>
      </c>
      <c r="N28" s="24" t="n">
        <f aca="false">Inputs!$C$10*N21*IF(OR(N$18&lt;=Inputs!$C$9,$C$6="renew"),1,IF($C$6="retrofit",IF(N$18-Inputs!$C$9=1,Inputs!$C$48,1),IF($C$6="relet",Inputs!$C$54,Inputs!$C$56)))</f>
        <v>5.3495700536999</v>
      </c>
      <c r="O28" s="24" t="n">
        <f aca="false">Inputs!$C$10*O21*IF(OR(O$18&lt;=Inputs!$C$9,$C$6="renew"),1,IF($C$6="retrofit",IF(O$18-Inputs!$C$9=1,Inputs!$C$48,1),IF($C$6="relet",Inputs!$C$54,Inputs!$C$56)))</f>
        <v>5.5100571553109</v>
      </c>
    </row>
    <row r="29" customFormat="false" ht="15" hidden="false" customHeight="false" outlineLevel="0" collapsed="false">
      <c r="B29" s="9" t="s">
        <v>152</v>
      </c>
      <c r="E29" s="24" t="n">
        <f aca="false">IF(E$18&gt;=$C$8,Inputs!$C$30*1000*Inputs!$C$34*12*(1+Inputs!$C$8)^(E$18-$C$8)/1000000*IF(AND(E$18=$C$8,$C$8&gt;Inputs!$C$33),1-MIN(12,Inputs!$C$35*($C$8-Inputs!$C$33)*12)/12,1),0)</f>
        <v>0</v>
      </c>
      <c r="F29" s="24" t="n">
        <f aca="false">IF(F$18&gt;=$C$8,Inputs!$C$30*1000*Inputs!$C$34*12*(1+Inputs!$C$8)^(F$18-$C$8)/1000000*IF(AND(F$18=$C$8,$C$8&gt;Inputs!$C$33),1-MIN(12,Inputs!$C$35*($C$8-Inputs!$C$33)*12)/12,1),0)</f>
        <v>0</v>
      </c>
      <c r="G29" s="24" t="n">
        <f aca="false">IF(G$18&gt;=$C$8,Inputs!$C$30*1000*Inputs!$C$34*12*(1+Inputs!$C$8)^(G$18-$C$8)/1000000*IF(AND(G$18=$C$8,$C$8&gt;Inputs!$C$33),1-MIN(12,Inputs!$C$35*($C$8-Inputs!$C$33)*12)/12,1),0)</f>
        <v>29.184</v>
      </c>
      <c r="H29" s="24" t="n">
        <f aca="false">IF(H$18&gt;=$C$8,Inputs!$C$30*1000*Inputs!$C$34*12*(1+Inputs!$C$8)^(H$18-$C$8)/1000000*IF(AND(H$18=$C$8,$C$8&gt;Inputs!$C$33),1-MIN(12,Inputs!$C$35*($C$8-Inputs!$C$33)*12)/12,1),0)</f>
        <v>29.76768</v>
      </c>
      <c r="I29" s="24" t="n">
        <f aca="false">IF(I$18&gt;=$C$8,Inputs!$C$30*1000*Inputs!$C$34*12*(1+Inputs!$C$8)^(I$18-$C$8)/1000000*IF(AND(I$18=$C$8,$C$8&gt;Inputs!$C$33),1-MIN(12,Inputs!$C$35*($C$8-Inputs!$C$33)*12)/12,1),0)</f>
        <v>30.3630336</v>
      </c>
      <c r="J29" s="24" t="n">
        <f aca="false">IF(J$18&gt;=$C$8,Inputs!$C$30*1000*Inputs!$C$34*12*(1+Inputs!$C$8)^(J$18-$C$8)/1000000*IF(AND(J$18=$C$8,$C$8&gt;Inputs!$C$33),1-MIN(12,Inputs!$C$35*($C$8-Inputs!$C$33)*12)/12,1),0)</f>
        <v>30.970294272</v>
      </c>
      <c r="K29" s="24" t="n">
        <f aca="false">IF(K$18&gt;=$C$8,Inputs!$C$30*1000*Inputs!$C$34*12*(1+Inputs!$C$8)^(K$18-$C$8)/1000000*IF(AND(K$18=$C$8,$C$8&gt;Inputs!$C$33),1-MIN(12,Inputs!$C$35*($C$8-Inputs!$C$33)*12)/12,1),0)</f>
        <v>31.58970015744</v>
      </c>
      <c r="L29" s="24" t="n">
        <f aca="false">IF(L$18&gt;=$C$8,Inputs!$C$30*1000*Inputs!$C$34*12*(1+Inputs!$C$8)^(L$18-$C$8)/1000000*IF(AND(L$18=$C$8,$C$8&gt;Inputs!$C$33),1-MIN(12,Inputs!$C$35*($C$8-Inputs!$C$33)*12)/12,1),0)</f>
        <v>32.2214941605888</v>
      </c>
      <c r="M29" s="24" t="n">
        <f aca="false">IF(M$18&gt;=$C$8,Inputs!$C$30*1000*Inputs!$C$34*12*(1+Inputs!$C$8)^(M$18-$C$8)/1000000*IF(AND(M$18=$C$8,$C$8&gt;Inputs!$C$33),1-MIN(12,Inputs!$C$35*($C$8-Inputs!$C$33)*12)/12,1),0)</f>
        <v>32.8659240438006</v>
      </c>
      <c r="N29" s="24" t="n">
        <f aca="false">IF(N$18&gt;=$C$8,Inputs!$C$30*1000*Inputs!$C$34*12*(1+Inputs!$C$8)^(N$18-$C$8)/1000000*IF(AND(N$18=$C$8,$C$8&gt;Inputs!$C$33),1-MIN(12,Inputs!$C$35*($C$8-Inputs!$C$33)*12)/12,1),0)</f>
        <v>33.5232425246766</v>
      </c>
      <c r="O29" s="24" t="n">
        <f aca="false">IF(O$18&gt;=$C$8,Inputs!$C$30*1000*Inputs!$C$34*12*(1+Inputs!$C$8)^(O$18-$C$8)/1000000*IF(AND(O$18=$C$8,$C$8&gt;Inputs!$C$33),1-MIN(12,Inputs!$C$35*($C$8-Inputs!$C$33)*12)/12,1),0)</f>
        <v>34.1937073751701</v>
      </c>
    </row>
    <row r="30" customFormat="false" ht="15" hidden="false" customHeight="false" outlineLevel="0" collapsed="false">
      <c r="B30" s="9" t="s">
        <v>153</v>
      </c>
      <c r="E30" s="28" t="n">
        <f aca="false">IF(E$18&gt;=$C$8,Inputs!$C$30*1000*Inputs!$C$16*8760/1000,0)</f>
        <v>0</v>
      </c>
      <c r="F30" s="28" t="n">
        <f aca="false">IF(F$18&gt;=$C$8,Inputs!$C$30*1000*Inputs!$C$16*8760/1000,0)</f>
        <v>0</v>
      </c>
      <c r="G30" s="28" t="n">
        <f aca="false">IF(G$18&gt;=$C$8,Inputs!$C$30*1000*Inputs!$C$16*8760/1000,0)</f>
        <v>112128</v>
      </c>
      <c r="H30" s="28" t="n">
        <f aca="false">IF(H$18&gt;=$C$8,Inputs!$C$30*1000*Inputs!$C$16*8760/1000,0)</f>
        <v>112128</v>
      </c>
      <c r="I30" s="28" t="n">
        <f aca="false">IF(I$18&gt;=$C$8,Inputs!$C$30*1000*Inputs!$C$16*8760/1000,0)</f>
        <v>112128</v>
      </c>
      <c r="J30" s="28" t="n">
        <f aca="false">IF(J$18&gt;=$C$8,Inputs!$C$30*1000*Inputs!$C$16*8760/1000,0)</f>
        <v>112128</v>
      </c>
      <c r="K30" s="28" t="n">
        <f aca="false">IF(K$18&gt;=$C$8,Inputs!$C$30*1000*Inputs!$C$16*8760/1000,0)</f>
        <v>112128</v>
      </c>
      <c r="L30" s="28" t="n">
        <f aca="false">IF(L$18&gt;=$C$8,Inputs!$C$30*1000*Inputs!$C$16*8760/1000,0)</f>
        <v>112128</v>
      </c>
      <c r="M30" s="28" t="n">
        <f aca="false">IF(M$18&gt;=$C$8,Inputs!$C$30*1000*Inputs!$C$16*8760/1000,0)</f>
        <v>112128</v>
      </c>
      <c r="N30" s="28" t="n">
        <f aca="false">IF(N$18&gt;=$C$8,Inputs!$C$30*1000*Inputs!$C$16*8760/1000,0)</f>
        <v>112128</v>
      </c>
      <c r="O30" s="28" t="n">
        <f aca="false">IF(O$18&gt;=$C$8,Inputs!$C$30*1000*Inputs!$C$16*8760/1000,0)</f>
        <v>112128</v>
      </c>
    </row>
    <row r="31" customFormat="false" ht="15" hidden="false" customHeight="false" outlineLevel="0" collapsed="false">
      <c r="B31" s="9" t="s">
        <v>154</v>
      </c>
      <c r="E31" s="24" t="n">
        <f aca="false">E30*Inputs!$C$37*Inputs!$C$27/1000000</f>
        <v>0</v>
      </c>
      <c r="F31" s="24" t="n">
        <f aca="false">F30*Inputs!$C$37*Inputs!$C$27/1000000</f>
        <v>0</v>
      </c>
      <c r="G31" s="24" t="n">
        <f aca="false">G30*Inputs!$C$37*Inputs!$C$27/1000000</f>
        <v>0.4036608</v>
      </c>
      <c r="H31" s="24" t="n">
        <f aca="false">H30*Inputs!$C$37*Inputs!$C$27/1000000</f>
        <v>0.4036608</v>
      </c>
      <c r="I31" s="24" t="n">
        <f aca="false">I30*Inputs!$C$37*Inputs!$C$27/1000000</f>
        <v>0.4036608</v>
      </c>
      <c r="J31" s="24" t="n">
        <f aca="false">J30*Inputs!$C$37*Inputs!$C$27/1000000</f>
        <v>0.4036608</v>
      </c>
      <c r="K31" s="24" t="n">
        <f aca="false">K30*Inputs!$C$37*Inputs!$C$27/1000000</f>
        <v>0.4036608</v>
      </c>
      <c r="L31" s="24" t="n">
        <f aca="false">L30*Inputs!$C$37*Inputs!$C$27/1000000</f>
        <v>0.4036608</v>
      </c>
      <c r="M31" s="24" t="n">
        <f aca="false">M30*Inputs!$C$37*Inputs!$C$27/1000000</f>
        <v>0.4036608</v>
      </c>
      <c r="N31" s="24" t="n">
        <f aca="false">N30*Inputs!$C$37*Inputs!$C$27/1000000</f>
        <v>0.4036608</v>
      </c>
      <c r="O31" s="24" t="n">
        <f aca="false">O30*Inputs!$C$37*Inputs!$C$27/1000000</f>
        <v>0.4036608</v>
      </c>
    </row>
    <row r="32" customFormat="false" ht="15" hidden="false" customHeight="false" outlineLevel="0" collapsed="false">
      <c r="B32" s="9" t="s">
        <v>155</v>
      </c>
      <c r="E32" s="24" t="n">
        <f aca="false">IF(E$18&gt;=$C$8,Inputs!$C$38*E21,0)</f>
        <v>0</v>
      </c>
      <c r="F32" s="24" t="n">
        <f aca="false">IF(F$18&gt;=$C$8,Inputs!$C$38*F21,0)</f>
        <v>0</v>
      </c>
      <c r="G32" s="24" t="n">
        <f aca="false">IF(G$18&gt;=$C$8,Inputs!$C$38*G21,0)</f>
        <v>1.69744</v>
      </c>
      <c r="H32" s="24" t="n">
        <f aca="false">IF(H$18&gt;=$C$8,Inputs!$C$38*H21,0)</f>
        <v>1.7483632</v>
      </c>
      <c r="I32" s="24" t="n">
        <f aca="false">IF(I$18&gt;=$C$8,Inputs!$C$38*I21,0)</f>
        <v>1.800814096</v>
      </c>
      <c r="J32" s="24" t="n">
        <f aca="false">IF(J$18&gt;=$C$8,Inputs!$C$38*J21,0)</f>
        <v>1.85483851888</v>
      </c>
      <c r="K32" s="24" t="n">
        <f aca="false">IF(K$18&gt;=$C$8,Inputs!$C$38*K21,0)</f>
        <v>1.9104836744464</v>
      </c>
      <c r="L32" s="24" t="n">
        <f aca="false">IF(L$18&gt;=$C$8,Inputs!$C$38*L21,0)</f>
        <v>1.96779818467979</v>
      </c>
      <c r="M32" s="24" t="n">
        <f aca="false">IF(M$18&gt;=$C$8,Inputs!$C$38*M21,0)</f>
        <v>2.02683213022019</v>
      </c>
      <c r="N32" s="24" t="n">
        <f aca="false">IF(N$18&gt;=$C$8,Inputs!$C$38*N21,0)</f>
        <v>2.08763709412679</v>
      </c>
      <c r="O32" s="24" t="n">
        <f aca="false">IF(O$18&gt;=$C$8,Inputs!$C$38*O21,0)</f>
        <v>2.1502662069506</v>
      </c>
    </row>
    <row r="33" customFormat="false" ht="15" hidden="false" customHeight="false" outlineLevel="0" collapsed="false">
      <c r="B33" s="9" t="s">
        <v>156</v>
      </c>
      <c r="E33" s="24" t="n">
        <f aca="false">Inputs!$C$12*(E26+E29)</f>
        <v>0.52992</v>
      </c>
      <c r="F33" s="24" t="n">
        <f aca="false">Inputs!$C$12*(F26+F29)</f>
        <v>0.5405184</v>
      </c>
      <c r="G33" s="24" t="n">
        <f aca="false">Inputs!$C$12*(G26+G29)</f>
        <v>0.843168768</v>
      </c>
      <c r="H33" s="24" t="n">
        <f aca="false">Inputs!$C$12*(H26+H29)</f>
        <v>0.86003214336</v>
      </c>
      <c r="I33" s="24" t="n">
        <f aca="false">Inputs!$C$12*(I26+I29)</f>
        <v>0.8772327862272</v>
      </c>
      <c r="J33" s="24" t="n">
        <f aca="false">Inputs!$C$12*(J26+J29)</f>
        <v>0.894777441951744</v>
      </c>
      <c r="K33" s="24" t="n">
        <f aca="false">Inputs!$C$12*(K26+K29)</f>
        <v>0.912672990790779</v>
      </c>
      <c r="L33" s="24" t="n">
        <f aca="false">Inputs!$C$12*(L26+L29)</f>
        <v>0.930926450606595</v>
      </c>
      <c r="M33" s="24" t="n">
        <f aca="false">Inputs!$C$12*(M26+M29)</f>
        <v>0.876499598538642</v>
      </c>
      <c r="N33" s="24" t="n">
        <f aca="false">Inputs!$C$12*(N26+N29)</f>
        <v>0.894029590509414</v>
      </c>
      <c r="O33" s="24" t="n">
        <f aca="false">Inputs!$C$12*(O26+O29)</f>
        <v>0.911910182319603</v>
      </c>
    </row>
    <row r="34" customFormat="false" ht="15" hidden="false" customHeight="false" outlineLevel="0" collapsed="false">
      <c r="B34" s="29" t="s">
        <v>157</v>
      </c>
      <c r="E34" s="30" t="n">
        <f aca="false">E26+E27+E29+E31-E28-E32-E33</f>
        <v>50.7840448</v>
      </c>
      <c r="F34" s="30" t="n">
        <f aca="false">F26+F27+F29+F31-F28-F32-F33</f>
        <v>52.141754944</v>
      </c>
      <c r="G34" s="30" t="n">
        <f aca="false">G26+G27+G29+G31-G28-G32-G33</f>
        <v>81.12377009088</v>
      </c>
      <c r="H34" s="30" t="n">
        <f aca="false">H26+H27+H29+H31-H28-H32-H33</f>
        <v>83.0607302246976</v>
      </c>
      <c r="I34" s="30" t="n">
        <f aca="false">I26+I27+I29+I31-I28-I32-I33</f>
        <v>83.1508650221916</v>
      </c>
      <c r="J34" s="30" t="n">
        <f aca="false">J26+J27+J29+J31-J28-J32-J33</f>
        <v>84.6364790404654</v>
      </c>
      <c r="K34" s="30" t="n">
        <f aca="false">K26+K27+K29+K31-K28-K32-K33</f>
        <v>86.1472513174396</v>
      </c>
      <c r="L34" s="30" t="n">
        <f aca="false">L26+L27+L29+L31-L28-L32-L33</f>
        <v>87.6835615446462</v>
      </c>
      <c r="M34" s="30" t="n">
        <f aca="false">M26+M27+M29+M31-M28-M32-M33</f>
        <v>82.0143009049856</v>
      </c>
      <c r="N34" s="30" t="n">
        <f aca="false">N26+N27+N29+N31-N28-N32-N33</f>
        <v>83.4582131172178</v>
      </c>
      <c r="O34" s="30" t="n">
        <f aca="false">O26+O27+O29+O31-O28-O32-O33</f>
        <v>84.9259350294748</v>
      </c>
    </row>
    <row r="35" customFormat="false" ht="15" hidden="false" customHeight="false" outlineLevel="0" collapsed="false">
      <c r="B35" s="9" t="s">
        <v>158</v>
      </c>
      <c r="E35" s="24" t="n">
        <f aca="false">Inputs!$C$13*E21*IF(AND($C$6="stranded",E$18&gt;Inputs!$C$9),Inputs!$C$56,1)+IF(E$18&gt;=$C$8,Inputs!$C$39*E21,0)</f>
        <v>1.3</v>
      </c>
      <c r="F35" s="24" t="n">
        <f aca="false">Inputs!$C$13*F21*IF(AND($C$6="stranded",F$18&gt;Inputs!$C$9),Inputs!$C$56,1)+IF(F$18&gt;=$C$8,Inputs!$C$39*F21,0)</f>
        <v>1.339</v>
      </c>
      <c r="G35" s="24" t="n">
        <f aca="false">Inputs!$C$13*G21*IF(AND($C$6="stranded",G$18&gt;Inputs!$C$9),Inputs!$C$56,1)+IF(G$18&gt;=$C$8,Inputs!$C$39*G21,0)</f>
        <v>1.90962</v>
      </c>
      <c r="H35" s="24" t="n">
        <f aca="false">Inputs!$C$13*H21*IF(AND($C$6="stranded",H$18&gt;Inputs!$C$9),Inputs!$C$56,1)+IF(H$18&gt;=$C$8,Inputs!$C$39*H21,0)</f>
        <v>1.9669086</v>
      </c>
      <c r="I35" s="24" t="n">
        <f aca="false">Inputs!$C$13*I21*IF(AND($C$6="stranded",I$18&gt;Inputs!$C$9),Inputs!$C$56,1)+IF(I$18&gt;=$C$8,Inputs!$C$39*I21,0)</f>
        <v>2.025915858</v>
      </c>
      <c r="J35" s="24" t="n">
        <f aca="false">Inputs!$C$13*J21*IF(AND($C$6="stranded",J$18&gt;Inputs!$C$9),Inputs!$C$56,1)+IF(J$18&gt;=$C$8,Inputs!$C$39*J21,0)</f>
        <v>2.08669333374</v>
      </c>
      <c r="K35" s="24" t="n">
        <f aca="false">Inputs!$C$13*K21*IF(AND($C$6="stranded",K$18&gt;Inputs!$C$9),Inputs!$C$56,1)+IF(K$18&gt;=$C$8,Inputs!$C$39*K21,0)</f>
        <v>2.1492941337522</v>
      </c>
      <c r="L35" s="24" t="n">
        <f aca="false">Inputs!$C$13*L21*IF(AND($C$6="stranded",L$18&gt;Inputs!$C$9),Inputs!$C$56,1)+IF(L$18&gt;=$C$8,Inputs!$C$39*L21,0)</f>
        <v>2.21377295776477</v>
      </c>
      <c r="M35" s="24" t="n">
        <f aca="false">Inputs!$C$13*M21*IF(AND($C$6="stranded",M$18&gt;Inputs!$C$9),Inputs!$C$56,1)+IF(M$18&gt;=$C$8,Inputs!$C$39*M21,0)</f>
        <v>2.28018614649771</v>
      </c>
      <c r="N35" s="24" t="n">
        <f aca="false">Inputs!$C$13*N21*IF(AND($C$6="stranded",N$18&gt;Inputs!$C$9),Inputs!$C$56,1)+IF(N$18&gt;=$C$8,Inputs!$C$39*N21,0)</f>
        <v>2.34859173089264</v>
      </c>
      <c r="O35" s="24" t="n">
        <f aca="false">Inputs!$C$13*O21*IF(AND($C$6="stranded",O$18&gt;Inputs!$C$9),Inputs!$C$56,1)+IF(O$18&gt;=$C$8,Inputs!$C$39*O21,0)</f>
        <v>2.41904948281942</v>
      </c>
    </row>
    <row r="36" customFormat="false" ht="15" hidden="false" customHeight="false" outlineLevel="0" collapsed="false">
      <c r="B36" s="9" t="s">
        <v>159</v>
      </c>
      <c r="E36" s="24" t="n">
        <f aca="false">IF(OR(E$18=1,E$18=2),Inputs!$C$31*Inputs!$C$30/2,0)+IF(AND(E$18=2,$C$8&gt;Inputs!$C$33),Inputs!$C$31*Inputs!$C$30*Inputs!$C$36*($C$8-Inputs!$C$33),0)</f>
        <v>84</v>
      </c>
      <c r="F36" s="24" t="n">
        <f aca="false">IF(OR(F$18=1,F$18=2),Inputs!$C$31*Inputs!$C$30/2,0)+IF(AND(F$18=2,$C$8&gt;Inputs!$C$33),Inputs!$C$31*Inputs!$C$30*Inputs!$C$36*($C$8-Inputs!$C$33),0)</f>
        <v>84</v>
      </c>
      <c r="G36" s="24" t="n">
        <f aca="false">IF(OR(G$18=1,G$18=2),Inputs!$C$31*Inputs!$C$30/2,0)+IF(AND(G$18=2,$C$8&gt;Inputs!$C$33),Inputs!$C$31*Inputs!$C$30*Inputs!$C$36*($C$8-Inputs!$C$33),0)</f>
        <v>0</v>
      </c>
      <c r="H36" s="24" t="n">
        <f aca="false">IF(OR(H$18=1,H$18=2),Inputs!$C$31*Inputs!$C$30/2,0)+IF(AND(H$18=2,$C$8&gt;Inputs!$C$33),Inputs!$C$31*Inputs!$C$30*Inputs!$C$36*($C$8-Inputs!$C$33),0)</f>
        <v>0</v>
      </c>
      <c r="I36" s="24" t="n">
        <f aca="false">IF(OR(I$18=1,I$18=2),Inputs!$C$31*Inputs!$C$30/2,0)+IF(AND(I$18=2,$C$8&gt;Inputs!$C$33),Inputs!$C$31*Inputs!$C$30*Inputs!$C$36*($C$8-Inputs!$C$33),0)</f>
        <v>0</v>
      </c>
      <c r="J36" s="24" t="n">
        <f aca="false">IF(OR(J$18=1,J$18=2),Inputs!$C$31*Inputs!$C$30/2,0)+IF(AND(J$18=2,$C$8&gt;Inputs!$C$33),Inputs!$C$31*Inputs!$C$30*Inputs!$C$36*($C$8-Inputs!$C$33),0)</f>
        <v>0</v>
      </c>
      <c r="K36" s="24" t="n">
        <f aca="false">IF(OR(K$18=1,K$18=2),Inputs!$C$31*Inputs!$C$30/2,0)+IF(AND(K$18=2,$C$8&gt;Inputs!$C$33),Inputs!$C$31*Inputs!$C$30*Inputs!$C$36*($C$8-Inputs!$C$33),0)</f>
        <v>0</v>
      </c>
      <c r="L36" s="24" t="n">
        <f aca="false">IF(OR(L$18=1,L$18=2),Inputs!$C$31*Inputs!$C$30/2,0)+IF(AND(L$18=2,$C$8&gt;Inputs!$C$33),Inputs!$C$31*Inputs!$C$30*Inputs!$C$36*($C$8-Inputs!$C$33),0)</f>
        <v>0</v>
      </c>
      <c r="M36" s="24" t="n">
        <f aca="false">IF(OR(M$18=1,M$18=2),Inputs!$C$31*Inputs!$C$30/2,0)+IF(AND(M$18=2,$C$8&gt;Inputs!$C$33),Inputs!$C$31*Inputs!$C$30*Inputs!$C$36*($C$8-Inputs!$C$33),0)</f>
        <v>0</v>
      </c>
      <c r="N36" s="24" t="n">
        <f aca="false">IF(OR(N$18=1,N$18=2),Inputs!$C$31*Inputs!$C$30/2,0)+IF(AND(N$18=2,$C$8&gt;Inputs!$C$33),Inputs!$C$31*Inputs!$C$30*Inputs!$C$36*($C$8-Inputs!$C$33),0)</f>
        <v>0</v>
      </c>
      <c r="O36" s="24" t="n">
        <f aca="false">IF(OR(O$18=1,O$18=2),Inputs!$C$31*Inputs!$C$30/2,0)+IF(AND(O$18=2,$C$8&gt;Inputs!$C$33),Inputs!$C$31*Inputs!$C$30*Inputs!$C$36*($C$8-Inputs!$C$33),0)</f>
        <v>0</v>
      </c>
    </row>
    <row r="37" customFormat="false" ht="15" hidden="false" customHeight="false" outlineLevel="0" collapsed="false">
      <c r="B37" s="9" t="s">
        <v>160</v>
      </c>
      <c r="E37" s="24" t="n">
        <f aca="false">IF(E$18=Inputs!$C$9+1,Inputs!$C$6*IF($C$6="renew",Inputs!$C$44,IF($C$6="retrofit",Inputs!$C$45,IF($C$6="relet",Inputs!$C$55,0))),0)</f>
        <v>0</v>
      </c>
      <c r="F37" s="24" t="n">
        <f aca="false">IF(F$18=Inputs!$C$9+1,Inputs!$C$6*IF($C$6="renew",Inputs!$C$44,IF($C$6="retrofit",Inputs!$C$45,IF($C$6="relet",Inputs!$C$55,0))),0)</f>
        <v>0</v>
      </c>
      <c r="G37" s="24" t="n">
        <f aca="false">IF(G$18=Inputs!$C$9+1,Inputs!$C$6*IF($C$6="renew",Inputs!$C$44,IF($C$6="retrofit",Inputs!$C$45,IF($C$6="relet",Inputs!$C$55,0))),0)</f>
        <v>0</v>
      </c>
      <c r="H37" s="24" t="n">
        <f aca="false">IF(H$18=Inputs!$C$9+1,Inputs!$C$6*IF($C$6="renew",Inputs!$C$44,IF($C$6="retrofit",Inputs!$C$45,IF($C$6="relet",Inputs!$C$55,0))),0)</f>
        <v>0</v>
      </c>
      <c r="I37" s="24" t="n">
        <f aca="false">IF(I$18=Inputs!$C$9+1,Inputs!$C$6*IF($C$6="renew",Inputs!$C$44,IF($C$6="retrofit",Inputs!$C$45,IF($C$6="relet",Inputs!$C$55,0))),0)</f>
        <v>0</v>
      </c>
      <c r="J37" s="24" t="n">
        <f aca="false">IF(J$18=Inputs!$C$9+1,Inputs!$C$6*IF($C$6="renew",Inputs!$C$44,IF($C$6="retrofit",Inputs!$C$45,IF($C$6="relet",Inputs!$C$55,0))),0)</f>
        <v>0</v>
      </c>
      <c r="K37" s="24" t="n">
        <f aca="false">IF(K$18=Inputs!$C$9+1,Inputs!$C$6*IF($C$6="renew",Inputs!$C$44,IF($C$6="retrofit",Inputs!$C$45,IF($C$6="relet",Inputs!$C$55,0))),0)</f>
        <v>0</v>
      </c>
      <c r="L37" s="24" t="n">
        <f aca="false">IF(L$18=Inputs!$C$9+1,Inputs!$C$6*IF($C$6="renew",Inputs!$C$44,IF($C$6="retrofit",Inputs!$C$45,IF($C$6="relet",Inputs!$C$55,0))),0)</f>
        <v>0</v>
      </c>
      <c r="M37" s="24" t="n">
        <f aca="false">IF(M$18=Inputs!$C$9+1,Inputs!$C$6*IF($C$6="renew",Inputs!$C$44,IF($C$6="retrofit",Inputs!$C$45,IF($C$6="relet",Inputs!$C$55,0))),0)</f>
        <v>12.8</v>
      </c>
      <c r="N37" s="24" t="n">
        <f aca="false">IF(N$18=Inputs!$C$9+1,Inputs!$C$6*IF($C$6="renew",Inputs!$C$44,IF($C$6="retrofit",Inputs!$C$45,IF($C$6="relet",Inputs!$C$55,0))),0)</f>
        <v>0</v>
      </c>
      <c r="O37" s="24" t="n">
        <f aca="false">IF(O$18=Inputs!$C$9+1,Inputs!$C$6*IF($C$6="renew",Inputs!$C$44,IF($C$6="retrofit",Inputs!$C$45,IF($C$6="relet",Inputs!$C$55,0))),0)</f>
        <v>0</v>
      </c>
    </row>
    <row r="38" customFormat="false" ht="15" hidden="false" customHeight="false" outlineLevel="0" collapsed="false">
      <c r="B38" s="29" t="s">
        <v>161</v>
      </c>
      <c r="E38" s="30" t="n">
        <f aca="false">E34-E35-E36-E37</f>
        <v>-34.5159552</v>
      </c>
      <c r="F38" s="30" t="n">
        <f aca="false">F34-F35-F36-F37</f>
        <v>-33.197245056</v>
      </c>
      <c r="G38" s="30" t="n">
        <f aca="false">G34-G35-G36-G37</f>
        <v>79.21415009088</v>
      </c>
      <c r="H38" s="30" t="n">
        <f aca="false">H34-H35-H36-H37</f>
        <v>81.0938216246976</v>
      </c>
      <c r="I38" s="30" t="n">
        <f aca="false">I34-I35-I36-I37</f>
        <v>81.1249491641916</v>
      </c>
      <c r="J38" s="30" t="n">
        <f aca="false">J34-J35-J36-J37</f>
        <v>82.5497857067254</v>
      </c>
      <c r="K38" s="30" t="n">
        <f aca="false">K34-K35-K36-K37</f>
        <v>83.9979571836874</v>
      </c>
      <c r="L38" s="30" t="n">
        <f aca="false">L34-L35-L36-L37</f>
        <v>85.4697885868815</v>
      </c>
      <c r="M38" s="30" t="n">
        <f aca="false">M34-M35-M36-M37</f>
        <v>66.9341147584878</v>
      </c>
      <c r="N38" s="30" t="n">
        <f aca="false">N34-N35-N36-N37</f>
        <v>81.1096213863251</v>
      </c>
      <c r="O38" s="30" t="n">
        <f aca="false">O34-O35-O36-O37</f>
        <v>82.5068855466554</v>
      </c>
    </row>
    <row r="39" customFormat="false" ht="15" hidden="false" customHeight="false" outlineLevel="0" collapsed="false">
      <c r="B39" s="6" t="s">
        <v>162</v>
      </c>
    </row>
    <row r="41" customFormat="false" ht="15" hidden="false" customHeight="false" outlineLevel="0" collapsed="false">
      <c r="B41" s="9" t="s">
        <v>163</v>
      </c>
      <c r="C41" s="23" t="n">
        <f aca="false">IF($C$6="renew",Inputs!$C$67,IF($C$6="retrofit",Inputs!$C$68,IF($C$6="relet",Inputs!$C$69,Inputs!$C$70)))+$C$12</f>
        <v>0.0625</v>
      </c>
    </row>
    <row r="42" customFormat="false" ht="15" hidden="false" customHeight="false" outlineLevel="0" collapsed="false">
      <c r="B42" s="9" t="s">
        <v>164</v>
      </c>
      <c r="C42" s="24" t="n">
        <f aca="false">O29+O31-O32-Inputs!$C$12*O29</f>
        <v>32.1051648944678</v>
      </c>
    </row>
    <row r="43" customFormat="false" ht="15" hidden="false" customHeight="false" outlineLevel="0" collapsed="false">
      <c r="B43" s="9" t="s">
        <v>165</v>
      </c>
      <c r="C43" s="24" t="n">
        <f aca="false">O34-$C$42</f>
        <v>52.8207701350069</v>
      </c>
    </row>
    <row r="44" customFormat="false" ht="15" hidden="false" customHeight="false" outlineLevel="0" collapsed="false">
      <c r="B44" s="9" t="s">
        <v>166</v>
      </c>
      <c r="C44" s="24" t="n">
        <f aca="false">IF($C$6="stranded",Inputs!$C$57*Inputs!$C$6-Inputs!$C$58,0)</f>
        <v>0</v>
      </c>
    </row>
    <row r="45" customFormat="false" ht="15" hidden="false" customHeight="false" outlineLevel="0" collapsed="false">
      <c r="B45" s="9" t="s">
        <v>167</v>
      </c>
      <c r="C45" s="24" t="n">
        <f aca="false">($C$42+$C$43)/$C$41+$C$44</f>
        <v>1358.8149604716</v>
      </c>
    </row>
    <row r="46" customFormat="false" ht="15" hidden="false" customHeight="false" outlineLevel="0" collapsed="false">
      <c r="B46" s="29" t="s">
        <v>168</v>
      </c>
      <c r="C46" s="30" t="n">
        <f aca="false">$C$45*(1-Inputs!$C$66)</f>
        <v>1338.43273606452</v>
      </c>
    </row>
    <row r="47" customFormat="false" ht="15" hidden="false" customHeight="false" outlineLevel="0" collapsed="false">
      <c r="B47" s="9" t="s">
        <v>169</v>
      </c>
      <c r="C47" s="24" t="n">
        <f aca="false">$C$16*(1+Inputs!$C$65)</f>
        <v>918</v>
      </c>
    </row>
    <row r="49" customFormat="false" ht="15" hidden="false" customHeight="false" outlineLevel="0" collapsed="false">
      <c r="B49" s="25" t="s">
        <v>170</v>
      </c>
      <c r="C49" s="26"/>
      <c r="D49" s="26" t="n">
        <v>0</v>
      </c>
      <c r="E49" s="26" t="n">
        <v>1</v>
      </c>
      <c r="F49" s="26" t="n">
        <v>2</v>
      </c>
      <c r="G49" s="26" t="n">
        <v>3</v>
      </c>
      <c r="H49" s="26" t="n">
        <v>4</v>
      </c>
      <c r="I49" s="26" t="n">
        <v>5</v>
      </c>
      <c r="J49" s="26" t="n">
        <v>6</v>
      </c>
      <c r="K49" s="26" t="n">
        <v>7</v>
      </c>
      <c r="L49" s="26" t="n">
        <v>8</v>
      </c>
      <c r="M49" s="26" t="n">
        <v>9</v>
      </c>
      <c r="N49" s="26" t="n">
        <v>10</v>
      </c>
    </row>
    <row r="50" customFormat="false" ht="15" hidden="false" customHeight="false" outlineLevel="0" collapsed="false">
      <c r="B50" s="29" t="s">
        <v>171</v>
      </c>
      <c r="D50" s="30" t="n">
        <f aca="false">-$C$47</f>
        <v>-918</v>
      </c>
      <c r="E50" s="30" t="n">
        <f aca="false">E38</f>
        <v>-34.5159552</v>
      </c>
      <c r="F50" s="30" t="n">
        <f aca="false">F38</f>
        <v>-33.197245056</v>
      </c>
      <c r="G50" s="30" t="n">
        <f aca="false">G38</f>
        <v>79.21415009088</v>
      </c>
      <c r="H50" s="30" t="n">
        <f aca="false">H38</f>
        <v>81.0938216246976</v>
      </c>
      <c r="I50" s="30" t="n">
        <f aca="false">I38</f>
        <v>81.1249491641916</v>
      </c>
      <c r="J50" s="30" t="n">
        <f aca="false">J38</f>
        <v>82.5497857067254</v>
      </c>
      <c r="K50" s="30" t="n">
        <f aca="false">K38</f>
        <v>83.9979571836874</v>
      </c>
      <c r="L50" s="30" t="n">
        <f aca="false">L38</f>
        <v>85.4697885868815</v>
      </c>
      <c r="M50" s="30" t="n">
        <f aca="false">M38</f>
        <v>66.9341147584878</v>
      </c>
      <c r="N50" s="30" t="n">
        <f aca="false">N38+$C$46</f>
        <v>1419.54235745085</v>
      </c>
    </row>
    <row r="51" customFormat="false" ht="15" hidden="false" customHeight="false" outlineLevel="0" collapsed="false">
      <c r="B51" s="29" t="s">
        <v>172</v>
      </c>
      <c r="C51" s="31" t="n">
        <f aca="false">IRR(D50:N50,0.08)</f>
        <v>0.0848656364293208</v>
      </c>
    </row>
    <row r="53" customFormat="false" ht="15" hidden="false" customHeight="false" outlineLevel="0" collapsed="false">
      <c r="B53" s="9" t="s">
        <v>173</v>
      </c>
      <c r="C53" s="24" t="n">
        <f aca="false">E25*($C$13-Inputs!$C$17)*Inputs!$C$21/1000000</f>
        <v>1.3679616</v>
      </c>
    </row>
    <row r="54" customFormat="false" ht="15" hidden="false" customHeight="false" outlineLevel="0" collapsed="false">
      <c r="B54" s="9" t="s">
        <v>174</v>
      </c>
      <c r="C54" s="24" t="n">
        <f aca="false">Inputs!$C$31*Inputs!$C$30</f>
        <v>168</v>
      </c>
    </row>
    <row r="55" customFormat="false" ht="15" hidden="false" customHeight="false" outlineLevel="0" collapsed="false">
      <c r="B55" s="9" t="s">
        <v>175</v>
      </c>
      <c r="C55" s="24" t="n">
        <f aca="false">Inputs!$C$57*Inputs!$C$6</f>
        <v>51.2</v>
      </c>
    </row>
    <row r="56" customFormat="false" ht="15" hidden="false" customHeight="false" outlineLevel="0" collapsed="false">
      <c r="B56" s="9" t="s">
        <v>176</v>
      </c>
      <c r="C56" s="24" t="n">
        <f aca="false">Inputs!$C$45*Inputs!$C$6</f>
        <v>83.2</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N40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2"/>
    <col collapsed="false" customWidth="true" hidden="false" outlineLevel="0" max="3" min="3" style="0" width="14"/>
    <col collapsed="false" customWidth="true" hidden="false" outlineLevel="0" max="15" min="4" style="0" width="11"/>
  </cols>
  <sheetData>
    <row r="1" customFormat="false" ht="6" hidden="false" customHeight="true" outlineLevel="0" collapsed="false"/>
    <row r="2" customFormat="false" ht="17.35" hidden="false" customHeight="false" outlineLevel="0" collapsed="false">
      <c r="B2" s="5" t="s">
        <v>177</v>
      </c>
    </row>
    <row r="3" customFormat="false" ht="15" hidden="false" customHeight="false" outlineLevel="0" collapsed="false">
      <c r="B3" s="6" t="s">
        <v>178</v>
      </c>
    </row>
    <row r="5" customFormat="false" ht="15" hidden="false" customHeight="false" outlineLevel="0" collapsed="false">
      <c r="B5" s="7" t="s">
        <v>179</v>
      </c>
      <c r="C5" s="8"/>
      <c r="D5" s="8"/>
      <c r="E5" s="8"/>
      <c r="F5" s="8"/>
      <c r="G5" s="8"/>
      <c r="H5" s="8"/>
      <c r="I5" s="8"/>
      <c r="J5" s="8"/>
      <c r="K5" s="8"/>
      <c r="L5" s="8"/>
      <c r="M5" s="8"/>
      <c r="N5" s="8"/>
    </row>
    <row r="6" customFormat="false" ht="15" hidden="false" customHeight="false" outlineLevel="0" collapsed="false">
      <c r="B6" s="9" t="s">
        <v>180</v>
      </c>
      <c r="C6" s="24" t="n">
        <f aca="false">Inputs!$C$77*Model!$C$16</f>
        <v>495</v>
      </c>
    </row>
    <row r="7" customFormat="false" ht="15" hidden="false" customHeight="false" outlineLevel="0" collapsed="false">
      <c r="B7" s="9" t="s">
        <v>181</v>
      </c>
      <c r="C7" s="24" t="n">
        <f aca="false">$C$6*Inputs!$C$78/(1-(1+Inputs!$C$78)^(-Inputs!$C$80))</f>
        <v>38.7222255150756</v>
      </c>
    </row>
    <row r="8" customFormat="false" ht="15" hidden="false" customHeight="false" outlineLevel="0" collapsed="false">
      <c r="B8" s="9" t="s">
        <v>182</v>
      </c>
      <c r="C8" s="24" t="n">
        <f aca="false">$C$6*(1+Inputs!$C$78)^(Inputs!$C$81-Inputs!$C$79)-$C$7*((1+Inputs!$C$78)^(Inputs!$C$81-Inputs!$C$79)-1)/Inputs!$C$78</f>
        <v>444.140876065435</v>
      </c>
    </row>
    <row r="9" customFormat="false" ht="15" hidden="false" customHeight="false" outlineLevel="0" collapsed="false">
      <c r="B9" s="9" t="s">
        <v>183</v>
      </c>
      <c r="C9" s="20" t="n">
        <f aca="false">IF(Model!$C$6="renew",1,0)</f>
        <v>1</v>
      </c>
    </row>
    <row r="10" customFormat="false" ht="15" hidden="false" customHeight="false" outlineLevel="0" collapsed="false">
      <c r="B10" s="9" t="s">
        <v>184</v>
      </c>
      <c r="C10" s="20" t="n">
        <f aca="false">IF($C$9=1,Inputs!$C$86,Inputs!$C$87)</f>
        <v>20</v>
      </c>
    </row>
    <row r="11" customFormat="false" ht="15" hidden="false" customHeight="false" outlineLevel="0" collapsed="false">
      <c r="B11" s="9" t="s">
        <v>185</v>
      </c>
      <c r="C11" s="24" t="n">
        <f aca="false">IF($C$9=1,INDEX(Model!$E$34:$O$34,(Inputs!$C$81+1))-INDEX(Model!$E$35:$O$35,(Inputs!$C$81+1)),INDEX(Model!$E$29:$O$29,(Inputs!$C$81+1))+INDEX(Model!$E$31:$O$31,(Inputs!$C$81+1))-INDEX(Model!$E$32:$O$32,(Inputs!$C$81+1))-Inputs!$C$12*INDEX(Model!$E$29:$O$29,(Inputs!$C$81+1))-Inputs!$C$39*(1+Inputs!$C$11)^((Inputs!$C$81+1)-1))</f>
        <v>85.4697885868815</v>
      </c>
    </row>
    <row r="12" customFormat="false" ht="15" hidden="false" customHeight="false" outlineLevel="0" collapsed="false">
      <c r="B12" s="9" t="s">
        <v>186</v>
      </c>
      <c r="C12" s="24" t="n">
        <f aca="false">$C$11/Inputs!$C$84</f>
        <v>61.0498489906296</v>
      </c>
    </row>
    <row r="13" customFormat="false" ht="15" hidden="false" customHeight="false" outlineLevel="0" collapsed="false">
      <c r="B13" s="9" t="s">
        <v>187</v>
      </c>
      <c r="C13" s="24" t="n">
        <f aca="false">$C$12*(1-(1+Inputs!$C$83)^(-$C$10))/Inputs!$C$83</f>
        <v>672.678203553656</v>
      </c>
    </row>
    <row r="14" customFormat="false" ht="15" hidden="false" customHeight="false" outlineLevel="0" collapsed="false">
      <c r="B14" s="9" t="s">
        <v>188</v>
      </c>
      <c r="C14" s="24" t="n">
        <f aca="false">$C$11/Model!$C$41</f>
        <v>1367.5166173901</v>
      </c>
    </row>
    <row r="15" customFormat="false" ht="15" hidden="false" customHeight="false" outlineLevel="0" collapsed="false">
      <c r="B15" s="9" t="s">
        <v>189</v>
      </c>
      <c r="C15" s="24" t="n">
        <f aca="false">Inputs!$C$85*$C$14</f>
        <v>752.134139564557</v>
      </c>
    </row>
    <row r="16" customFormat="false" ht="15" hidden="false" customHeight="false" outlineLevel="0" collapsed="false">
      <c r="B16" s="29" t="s">
        <v>190</v>
      </c>
      <c r="C16" s="30" t="n">
        <f aca="false">MIN($C$13,$C$15)</f>
        <v>672.678203553656</v>
      </c>
    </row>
    <row r="17" customFormat="false" ht="15" hidden="false" customHeight="false" outlineLevel="0" collapsed="false">
      <c r="B17" s="29" t="s">
        <v>191</v>
      </c>
      <c r="C17" s="30" t="n">
        <f aca="false">$C$16*(1-Inputs!$C$82)-$C$8</f>
        <v>221.810545452684</v>
      </c>
    </row>
    <row r="18" customFormat="false" ht="15" hidden="false" customHeight="false" outlineLevel="0" collapsed="false">
      <c r="B18" s="9" t="s">
        <v>192</v>
      </c>
      <c r="C18" s="24" t="n">
        <f aca="false">$C$16*Inputs!$C$83/(1-(1+Inputs!$C$83)^(-$C$10))</f>
        <v>61.0498489906296</v>
      </c>
    </row>
    <row r="20" customFormat="false" ht="15" hidden="false" customHeight="false" outlineLevel="0" collapsed="false">
      <c r="B20" s="25" t="s">
        <v>193</v>
      </c>
      <c r="C20" s="26"/>
      <c r="D20" s="26" t="n">
        <v>0</v>
      </c>
      <c r="E20" s="26" t="n">
        <v>1</v>
      </c>
      <c r="F20" s="26" t="n">
        <v>2</v>
      </c>
      <c r="G20" s="26" t="n">
        <v>3</v>
      </c>
      <c r="H20" s="26" t="n">
        <v>4</v>
      </c>
      <c r="I20" s="26" t="n">
        <v>5</v>
      </c>
      <c r="J20" s="26" t="n">
        <v>6</v>
      </c>
      <c r="K20" s="26" t="n">
        <v>7</v>
      </c>
      <c r="L20" s="26" t="n">
        <v>8</v>
      </c>
      <c r="M20" s="26" t="n">
        <v>9</v>
      </c>
      <c r="N20" s="26" t="n">
        <v>10</v>
      </c>
    </row>
    <row r="21" customFormat="false" ht="15" hidden="false" customHeight="false" outlineLevel="0" collapsed="false">
      <c r="B21" s="9" t="s">
        <v>194</v>
      </c>
      <c r="E21" s="24" t="n">
        <f aca="false">$C$6</f>
        <v>495</v>
      </c>
      <c r="F21" s="24" t="n">
        <f aca="false">IF(F$20=Inputs!$C$81+1,$C$16,E25)</f>
        <v>495</v>
      </c>
      <c r="G21" s="24" t="n">
        <f aca="false">IF(G$20=Inputs!$C$81+1,$C$16,F25)</f>
        <v>495</v>
      </c>
      <c r="H21" s="24" t="n">
        <f aca="false">IF(H$20=Inputs!$C$81+1,$C$16,G25)</f>
        <v>485.977774484924</v>
      </c>
      <c r="I21" s="24" t="n">
        <f aca="false">IF(I$20=Inputs!$C$81+1,$C$16,H25)</f>
        <v>476.414215438944</v>
      </c>
      <c r="J21" s="24" t="n">
        <f aca="false">IF(J$20=Inputs!$C$81+1,$C$16,I25)</f>
        <v>466.276842850205</v>
      </c>
      <c r="K21" s="24" t="n">
        <f aca="false">IF(K$20=Inputs!$C$81+1,$C$16,J25)</f>
        <v>455.531227906142</v>
      </c>
      <c r="L21" s="24" t="n">
        <f aca="false">IF(L$20=Inputs!$C$81+1,$C$16,K25)</f>
        <v>672.678203553656</v>
      </c>
      <c r="M21" s="24" t="n">
        <f aca="false">IF(M$20=Inputs!$C$81+1,$C$16,L25)</f>
        <v>655.352437794014</v>
      </c>
      <c r="N21" s="24" t="n">
        <f aca="false">IF(N$20=Inputs!$C$81+1,$C$16,M25)</f>
        <v>636.900497259995</v>
      </c>
    </row>
    <row r="22" customFormat="false" ht="15" hidden="false" customHeight="false" outlineLevel="0" collapsed="false">
      <c r="B22" s="9" t="s">
        <v>195</v>
      </c>
      <c r="E22" s="23" t="n">
        <f aca="false">IF(E$20&lt;=Inputs!$C$81,Inputs!$C$78,Inputs!$C$83)</f>
        <v>0.06</v>
      </c>
      <c r="F22" s="23" t="n">
        <f aca="false">IF(F$20&lt;=Inputs!$C$81,Inputs!$C$78,Inputs!$C$83)</f>
        <v>0.06</v>
      </c>
      <c r="G22" s="23" t="n">
        <f aca="false">IF(G$20&lt;=Inputs!$C$81,Inputs!$C$78,Inputs!$C$83)</f>
        <v>0.06</v>
      </c>
      <c r="H22" s="23" t="n">
        <f aca="false">IF(H$20&lt;=Inputs!$C$81,Inputs!$C$78,Inputs!$C$83)</f>
        <v>0.06</v>
      </c>
      <c r="I22" s="23" t="n">
        <f aca="false">IF(I$20&lt;=Inputs!$C$81,Inputs!$C$78,Inputs!$C$83)</f>
        <v>0.06</v>
      </c>
      <c r="J22" s="23" t="n">
        <f aca="false">IF(J$20&lt;=Inputs!$C$81,Inputs!$C$78,Inputs!$C$83)</f>
        <v>0.06</v>
      </c>
      <c r="K22" s="23" t="n">
        <f aca="false">IF(K$20&lt;=Inputs!$C$81,Inputs!$C$78,Inputs!$C$83)</f>
        <v>0.06</v>
      </c>
      <c r="L22" s="23" t="n">
        <f aca="false">IF(L$20&lt;=Inputs!$C$81,Inputs!$C$78,Inputs!$C$83)</f>
        <v>0.065</v>
      </c>
      <c r="M22" s="23" t="n">
        <f aca="false">IF(M$20&lt;=Inputs!$C$81,Inputs!$C$78,Inputs!$C$83)</f>
        <v>0.065</v>
      </c>
      <c r="N22" s="23" t="n">
        <f aca="false">IF(N$20&lt;=Inputs!$C$81,Inputs!$C$78,Inputs!$C$83)</f>
        <v>0.065</v>
      </c>
    </row>
    <row r="23" customFormat="false" ht="15" hidden="false" customHeight="false" outlineLevel="0" collapsed="false">
      <c r="B23" s="9" t="s">
        <v>196</v>
      </c>
      <c r="E23" s="24" t="n">
        <f aca="false">E21*E22</f>
        <v>29.7</v>
      </c>
      <c r="F23" s="24" t="n">
        <f aca="false">F21*F22</f>
        <v>29.7</v>
      </c>
      <c r="G23" s="24" t="n">
        <f aca="false">G21*G22</f>
        <v>29.7</v>
      </c>
      <c r="H23" s="24" t="n">
        <f aca="false">H21*H22</f>
        <v>29.1586664690955</v>
      </c>
      <c r="I23" s="24" t="n">
        <f aca="false">I21*I22</f>
        <v>28.5848529263367</v>
      </c>
      <c r="J23" s="24" t="n">
        <f aca="false">J21*J22</f>
        <v>27.9766105710123</v>
      </c>
      <c r="K23" s="24" t="n">
        <f aca="false">K21*K22</f>
        <v>27.3318736743685</v>
      </c>
      <c r="L23" s="24" t="n">
        <f aca="false">L21*L22</f>
        <v>43.7240832309876</v>
      </c>
      <c r="M23" s="24" t="n">
        <f aca="false">M21*M22</f>
        <v>42.5979084566109</v>
      </c>
      <c r="N23" s="24" t="n">
        <f aca="false">N21*N22</f>
        <v>41.3985323218997</v>
      </c>
    </row>
    <row r="24" customFormat="false" ht="15" hidden="false" customHeight="false" outlineLevel="0" collapsed="false">
      <c r="B24" s="9" t="s">
        <v>197</v>
      </c>
      <c r="E24" s="24" t="n">
        <f aca="false">IF(E$20&lt;=Inputs!$C$81,IF(E$20&lt;=Inputs!$C$79,0,$C$7-E23),$C$18-E23)</f>
        <v>0</v>
      </c>
      <c r="F24" s="24" t="n">
        <f aca="false">IF(F$20&lt;=Inputs!$C$81,IF(F$20&lt;=Inputs!$C$79,0,$C$7-F23),$C$18-F23)</f>
        <v>0</v>
      </c>
      <c r="G24" s="24" t="n">
        <f aca="false">IF(G$20&lt;=Inputs!$C$81,IF(G$20&lt;=Inputs!$C$79,0,$C$7-G23),$C$18-G23)</f>
        <v>9.0222255150756</v>
      </c>
      <c r="H24" s="24" t="n">
        <f aca="false">IF(H$20&lt;=Inputs!$C$81,IF(H$20&lt;=Inputs!$C$79,0,$C$7-H23),$C$18-H23)</f>
        <v>9.56355904598014</v>
      </c>
      <c r="I24" s="24" t="n">
        <f aca="false">IF(I$20&lt;=Inputs!$C$81,IF(I$20&lt;=Inputs!$C$79,0,$C$7-I23),$C$18-I23)</f>
        <v>10.1373725887389</v>
      </c>
      <c r="J24" s="24" t="n">
        <f aca="false">IF(J$20&lt;=Inputs!$C$81,IF(J$20&lt;=Inputs!$C$79,0,$C$7-J23),$C$18-J23)</f>
        <v>10.7456149440633</v>
      </c>
      <c r="K24" s="24" t="n">
        <f aca="false">IF(K$20&lt;=Inputs!$C$81,IF(K$20&lt;=Inputs!$C$79,0,$C$7-K23),$C$18-K23)</f>
        <v>11.3903518407071</v>
      </c>
      <c r="L24" s="24" t="n">
        <f aca="false">IF(L$20&lt;=Inputs!$C$81,IF(L$20&lt;=Inputs!$C$79,0,$C$7-L23),$C$18-L23)</f>
        <v>17.325765759642</v>
      </c>
      <c r="M24" s="24" t="n">
        <f aca="false">IF(M$20&lt;=Inputs!$C$81,IF(M$20&lt;=Inputs!$C$79,0,$C$7-M23),$C$18-M23)</f>
        <v>18.4519405340187</v>
      </c>
      <c r="N24" s="24" t="n">
        <f aca="false">IF(N$20&lt;=Inputs!$C$81,IF(N$20&lt;=Inputs!$C$79,0,$C$7-N23),$C$18-N23)</f>
        <v>19.65131666873</v>
      </c>
    </row>
    <row r="25" customFormat="false" ht="15" hidden="false" customHeight="false" outlineLevel="0" collapsed="false">
      <c r="B25" s="29" t="s">
        <v>198</v>
      </c>
      <c r="E25" s="30" t="n">
        <f aca="false">E21-E24</f>
        <v>495</v>
      </c>
      <c r="F25" s="30" t="n">
        <f aca="false">F21-F24</f>
        <v>495</v>
      </c>
      <c r="G25" s="30" t="n">
        <f aca="false">G21-G24</f>
        <v>485.977774484924</v>
      </c>
      <c r="H25" s="30" t="n">
        <f aca="false">H21-H24</f>
        <v>476.414215438944</v>
      </c>
      <c r="I25" s="30" t="n">
        <f aca="false">I21-I24</f>
        <v>466.276842850205</v>
      </c>
      <c r="J25" s="30" t="n">
        <f aca="false">J21-J24</f>
        <v>455.531227906142</v>
      </c>
      <c r="K25" s="30" t="n">
        <f aca="false">K21-K24</f>
        <v>444.140876065435</v>
      </c>
      <c r="L25" s="30" t="n">
        <f aca="false">L21-L24</f>
        <v>655.352437794014</v>
      </c>
      <c r="M25" s="30" t="n">
        <f aca="false">M21-M24</f>
        <v>636.900497259995</v>
      </c>
      <c r="N25" s="30" t="n">
        <f aca="false">N21-N24</f>
        <v>617.249180591265</v>
      </c>
    </row>
    <row r="26" customFormat="false" ht="15" hidden="false" customHeight="false" outlineLevel="0" collapsed="false">
      <c r="B26" s="9" t="s">
        <v>199</v>
      </c>
      <c r="E26" s="24" t="n">
        <f aca="false">E23+E24</f>
        <v>29.7</v>
      </c>
      <c r="F26" s="24" t="n">
        <f aca="false">F23+F24</f>
        <v>29.7</v>
      </c>
      <c r="G26" s="24" t="n">
        <f aca="false">G23+G24</f>
        <v>38.7222255150756</v>
      </c>
      <c r="H26" s="24" t="n">
        <f aca="false">H23+H24</f>
        <v>38.7222255150756</v>
      </c>
      <c r="I26" s="24" t="n">
        <f aca="false">I23+I24</f>
        <v>38.7222255150756</v>
      </c>
      <c r="J26" s="24" t="n">
        <f aca="false">J23+J24</f>
        <v>38.7222255150756</v>
      </c>
      <c r="K26" s="24" t="n">
        <f aca="false">K23+K24</f>
        <v>38.7222255150756</v>
      </c>
      <c r="L26" s="24" t="n">
        <f aca="false">L23+L24</f>
        <v>61.0498489906296</v>
      </c>
      <c r="M26" s="24" t="n">
        <f aca="false">M23+M24</f>
        <v>61.0498489906296</v>
      </c>
      <c r="N26" s="24" t="n">
        <f aca="false">N23+N24</f>
        <v>61.0498489906296</v>
      </c>
    </row>
    <row r="27" customFormat="false" ht="15" hidden="false" customHeight="false" outlineLevel="0" collapsed="false">
      <c r="B27" s="9" t="s">
        <v>200</v>
      </c>
      <c r="E27" s="22" t="n">
        <f aca="false">(Model!E34-Model!E35)/E26</f>
        <v>1.66612945454545</v>
      </c>
      <c r="F27" s="22" t="n">
        <f aca="false">(Model!F34-Model!F35)/F26</f>
        <v>1.71053046949495</v>
      </c>
      <c r="G27" s="22" t="n">
        <f aca="false">(Model!G34-Model!G35)/G26</f>
        <v>2.04570241088131</v>
      </c>
      <c r="H27" s="22" t="n">
        <f aca="false">(Model!H34-Model!H35)/H26</f>
        <v>2.09424485669414</v>
      </c>
      <c r="I27" s="22" t="n">
        <f aca="false">(Model!I34-Model!I35)/I26</f>
        <v>2.09504872421673</v>
      </c>
      <c r="J27" s="22" t="n">
        <f aca="false">(Model!J34-Model!J35)/J26</f>
        <v>2.13184507369254</v>
      </c>
      <c r="K27" s="22" t="n">
        <f aca="false">(Model!K34-Model!K35)/K26</f>
        <v>2.16924404696173</v>
      </c>
      <c r="L27" s="22" t="n">
        <f aca="false">(Model!L34-Model!L35)/L26</f>
        <v>1.4</v>
      </c>
      <c r="M27" s="22" t="n">
        <f aca="false">(Model!M34-Model!M35)/M26</f>
        <v>1.30604933635014</v>
      </c>
      <c r="N27" s="22" t="n">
        <f aca="false">(Model!N34-Model!N35)/N26</f>
        <v>1.32858021317587</v>
      </c>
    </row>
    <row r="28" customFormat="false" ht="15" hidden="false" customHeight="false" outlineLevel="0" collapsed="false">
      <c r="B28" s="29" t="s">
        <v>201</v>
      </c>
      <c r="C28" s="32" t="n">
        <f aca="false">MIN(I27:K27)</f>
        <v>2.09504872421673</v>
      </c>
    </row>
    <row r="30" customFormat="false" ht="15" hidden="false" customHeight="false" outlineLevel="0" collapsed="false">
      <c r="B30" s="25" t="s">
        <v>202</v>
      </c>
      <c r="C30" s="26"/>
      <c r="D30" s="26" t="n">
        <v>0</v>
      </c>
      <c r="E30" s="26" t="n">
        <v>1</v>
      </c>
      <c r="F30" s="26" t="n">
        <v>2</v>
      </c>
      <c r="G30" s="26" t="n">
        <v>3</v>
      </c>
      <c r="H30" s="26" t="n">
        <v>4</v>
      </c>
      <c r="I30" s="26" t="n">
        <v>5</v>
      </c>
      <c r="J30" s="26" t="n">
        <v>6</v>
      </c>
      <c r="K30" s="26" t="n">
        <v>7</v>
      </c>
      <c r="L30" s="26" t="n">
        <v>8</v>
      </c>
      <c r="M30" s="26" t="n">
        <v>9</v>
      </c>
      <c r="N30" s="26" t="n">
        <v>10</v>
      </c>
    </row>
    <row r="31" customFormat="false" ht="15" hidden="false" customHeight="false" outlineLevel="0" collapsed="false">
      <c r="B31" s="9" t="s">
        <v>203</v>
      </c>
      <c r="D31" s="24" t="n">
        <f aca="false">$C$6*(1-Inputs!$C$82)</f>
        <v>490.05</v>
      </c>
      <c r="E31" s="24" t="n">
        <f aca="false">-E26+IF(E$20=Inputs!$C$81,$C$17,0)</f>
        <v>-29.7</v>
      </c>
      <c r="F31" s="24" t="n">
        <f aca="false">-F26+IF(F$20=Inputs!$C$81,$C$17,0)</f>
        <v>-29.7</v>
      </c>
      <c r="G31" s="24" t="n">
        <f aca="false">-G26+IF(G$20=Inputs!$C$81,$C$17,0)</f>
        <v>-38.7222255150756</v>
      </c>
      <c r="H31" s="24" t="n">
        <f aca="false">-H26+IF(H$20=Inputs!$C$81,$C$17,0)</f>
        <v>-38.7222255150756</v>
      </c>
      <c r="I31" s="24" t="n">
        <f aca="false">-I26+IF(I$20=Inputs!$C$81,$C$17,0)</f>
        <v>-38.7222255150756</v>
      </c>
      <c r="J31" s="24" t="n">
        <f aca="false">-J26+IF(J$20=Inputs!$C$81,$C$17,0)</f>
        <v>-38.7222255150756</v>
      </c>
      <c r="K31" s="24" t="n">
        <f aca="false">-K26+IF(K$20=Inputs!$C$81,$C$17,0)</f>
        <v>183.088319937608</v>
      </c>
      <c r="L31" s="24" t="n">
        <f aca="false">-L26+IF(L$20=Inputs!$C$81,$C$17,0)</f>
        <v>-61.0498489906296</v>
      </c>
      <c r="M31" s="24" t="n">
        <f aca="false">-M26+IF(M$20=Inputs!$C$81,$C$17,0)</f>
        <v>-61.0498489906296</v>
      </c>
      <c r="N31" s="24" t="n">
        <f aca="false">-N26+IF(N$20=Inputs!$C$81,$C$17,0)-N25</f>
        <v>-678.299029581895</v>
      </c>
    </row>
    <row r="32" customFormat="false" ht="15" hidden="false" customHeight="false" outlineLevel="0" collapsed="false">
      <c r="B32" s="29" t="s">
        <v>202</v>
      </c>
      <c r="D32" s="30" t="n">
        <f aca="false">Model!D50+D31</f>
        <v>-427.95</v>
      </c>
      <c r="E32" s="30" t="n">
        <f aca="false">Model!E50+E31</f>
        <v>-64.2159552</v>
      </c>
      <c r="F32" s="30" t="n">
        <f aca="false">Model!F50+F31</f>
        <v>-62.897245056</v>
      </c>
      <c r="G32" s="30" t="n">
        <f aca="false">Model!G50+G31</f>
        <v>40.4919245758044</v>
      </c>
      <c r="H32" s="30" t="n">
        <f aca="false">Model!H50+H31</f>
        <v>42.371596109622</v>
      </c>
      <c r="I32" s="30" t="n">
        <f aca="false">Model!I50+I31</f>
        <v>42.4027236491159</v>
      </c>
      <c r="J32" s="30" t="n">
        <f aca="false">Model!J50+J31</f>
        <v>43.8275601916498</v>
      </c>
      <c r="K32" s="30" t="n">
        <f aca="false">Model!K50+K31</f>
        <v>267.086277121296</v>
      </c>
      <c r="L32" s="30" t="n">
        <f aca="false">Model!L50+L31</f>
        <v>24.4199395962519</v>
      </c>
      <c r="M32" s="30" t="n">
        <f aca="false">Model!M50+M31</f>
        <v>5.88426576785821</v>
      </c>
      <c r="N32" s="30" t="n">
        <f aca="false">Model!N50+N31</f>
        <v>741.243327868953</v>
      </c>
    </row>
    <row r="33" customFormat="false" ht="15" hidden="false" customHeight="false" outlineLevel="0" collapsed="false">
      <c r="B33" s="29" t="s">
        <v>204</v>
      </c>
      <c r="C33" s="31" t="n">
        <f aca="false">IRR(D32:N32,0.08)</f>
        <v>0.102311113960093</v>
      </c>
    </row>
    <row r="34" customFormat="false" ht="15" hidden="false" customHeight="false" outlineLevel="0" collapsed="false">
      <c r="B34" s="9" t="s">
        <v>205</v>
      </c>
      <c r="C34" s="33" t="n">
        <f aca="false">SUMIF(D32:N32,"&gt;0")/-SUMIF(D32:N32,"&lt;0")</f>
        <v>2.17583802046963</v>
      </c>
    </row>
    <row r="35" customFormat="false" ht="15" hidden="false" customHeight="false" outlineLevel="0" collapsed="false">
      <c r="B35" s="9" t="s">
        <v>206</v>
      </c>
      <c r="C35" s="24" t="n">
        <f aca="false">-D32</f>
        <v>427.95</v>
      </c>
    </row>
    <row r="37" customFormat="false" ht="15" hidden="false" customHeight="false" outlineLevel="0" collapsed="false">
      <c r="B37" s="7" t="s">
        <v>207</v>
      </c>
      <c r="C37" s="8"/>
      <c r="D37" s="8"/>
      <c r="E37" s="8"/>
      <c r="F37" s="8"/>
      <c r="G37" s="8"/>
      <c r="H37" s="8"/>
      <c r="I37" s="8"/>
      <c r="J37" s="8"/>
      <c r="K37" s="8"/>
      <c r="L37" s="8"/>
      <c r="M37" s="8"/>
      <c r="N37" s="8"/>
    </row>
    <row r="38" customFormat="false" ht="15" hidden="false" customHeight="false" outlineLevel="0" collapsed="false">
      <c r="B38" s="9" t="s">
        <v>180</v>
      </c>
      <c r="C38" s="24" t="n">
        <f aca="false">Inputs!$C$77*Scenarios!$C$16</f>
        <v>495</v>
      </c>
    </row>
    <row r="39" customFormat="false" ht="15" hidden="false" customHeight="false" outlineLevel="0" collapsed="false">
      <c r="B39" s="9" t="s">
        <v>181</v>
      </c>
      <c r="C39" s="24" t="n">
        <f aca="false">$C$38*Inputs!$C$78/(1-(1+Inputs!$C$78)^(-Inputs!$C$80))</f>
        <v>38.7222255150756</v>
      </c>
    </row>
    <row r="40" customFormat="false" ht="15" hidden="false" customHeight="false" outlineLevel="0" collapsed="false">
      <c r="B40" s="9" t="s">
        <v>182</v>
      </c>
      <c r="C40" s="24" t="n">
        <f aca="false">$C$38*(1+Inputs!$C$78)^(Inputs!$C$81-Inputs!$C$79)-$C$39*((1+Inputs!$C$78)^(Inputs!$C$81-Inputs!$C$79)-1)/Inputs!$C$78</f>
        <v>444.140876065435</v>
      </c>
    </row>
    <row r="41" customFormat="false" ht="15" hidden="false" customHeight="false" outlineLevel="0" collapsed="false">
      <c r="B41" s="9" t="s">
        <v>183</v>
      </c>
      <c r="C41" s="20" t="n">
        <f aca="false">IF(Scenarios!$C$6="renew",1,0)</f>
        <v>0</v>
      </c>
    </row>
    <row r="42" customFormat="false" ht="15" hidden="false" customHeight="false" outlineLevel="0" collapsed="false">
      <c r="B42" s="9" t="s">
        <v>184</v>
      </c>
      <c r="C42" s="20" t="n">
        <f aca="false">IF($C$41=1,Inputs!$C$86,Inputs!$C$87)</f>
        <v>7</v>
      </c>
    </row>
    <row r="43" customFormat="false" ht="15" hidden="false" customHeight="false" outlineLevel="0" collapsed="false">
      <c r="B43" s="9" t="s">
        <v>185</v>
      </c>
      <c r="C43" s="24" t="n">
        <f aca="false">IF($C$41=1,INDEX(Scenarios!$E$34:$O$34,(Inputs!$C$81+1))-INDEX(Scenarios!$E$35:$O$35,(Inputs!$C$81+1)),INDEX(Scenarios!$E$29:$O$29,(Inputs!$C$81+1))+INDEX(Scenarios!$E$31:$O$31,(Inputs!$C$81+1))-INDEX(Scenarios!$E$32:$O$32,(Inputs!$C$81+1))-Inputs!$C$12*INDEX(Scenarios!$E$29:$O$29,(Inputs!$C$81+1))-Inputs!$C$39*(1+Inputs!$C$11)^((Inputs!$C$81+1)-1))</f>
        <v>29.7202049015907</v>
      </c>
    </row>
    <row r="44" customFormat="false" ht="15" hidden="false" customHeight="false" outlineLevel="0" collapsed="false">
      <c r="B44" s="9" t="s">
        <v>186</v>
      </c>
      <c r="C44" s="24" t="n">
        <f aca="false">$C$43/Inputs!$C$84</f>
        <v>21.2287177868505</v>
      </c>
    </row>
    <row r="45" customFormat="false" ht="15" hidden="false" customHeight="false" outlineLevel="0" collapsed="false">
      <c r="B45" s="9" t="s">
        <v>187</v>
      </c>
      <c r="C45" s="24" t="n">
        <f aca="false">$C$44*(1-(1+Inputs!$C$83)^(-$C$42))/Inputs!$C$83</f>
        <v>116.429322431369</v>
      </c>
    </row>
    <row r="46" customFormat="false" ht="15" hidden="false" customHeight="false" outlineLevel="0" collapsed="false">
      <c r="B46" s="9" t="s">
        <v>188</v>
      </c>
      <c r="C46" s="24" t="n">
        <f aca="false">$C$43/Scenarios!$C$41</f>
        <v>516.873128723316</v>
      </c>
    </row>
    <row r="47" customFormat="false" ht="15" hidden="false" customHeight="false" outlineLevel="0" collapsed="false">
      <c r="B47" s="9" t="s">
        <v>189</v>
      </c>
      <c r="C47" s="24" t="n">
        <f aca="false">Inputs!$C$85*$C$46</f>
        <v>284.280220797824</v>
      </c>
    </row>
    <row r="48" customFormat="false" ht="15" hidden="false" customHeight="false" outlineLevel="0" collapsed="false">
      <c r="B48" s="29" t="s">
        <v>190</v>
      </c>
      <c r="C48" s="30" t="n">
        <f aca="false">MIN($C$45,$C$47)</f>
        <v>116.429322431369</v>
      </c>
    </row>
    <row r="49" customFormat="false" ht="15" hidden="false" customHeight="false" outlineLevel="0" collapsed="false">
      <c r="B49" s="29" t="s">
        <v>191</v>
      </c>
      <c r="C49" s="30" t="n">
        <f aca="false">$C$48*(1-Inputs!$C$82)-$C$40</f>
        <v>-328.875846858379</v>
      </c>
    </row>
    <row r="50" customFormat="false" ht="15" hidden="false" customHeight="false" outlineLevel="0" collapsed="false">
      <c r="B50" s="9" t="s">
        <v>192</v>
      </c>
      <c r="C50" s="24" t="n">
        <f aca="false">$C$48*Inputs!$C$83/(1-(1+Inputs!$C$83)^(-$C$42))</f>
        <v>21.2287177868505</v>
      </c>
    </row>
    <row r="52" customFormat="false" ht="15" hidden="false" customHeight="false" outlineLevel="0" collapsed="false">
      <c r="B52" s="25" t="s">
        <v>193</v>
      </c>
      <c r="C52" s="26"/>
      <c r="D52" s="26" t="n">
        <v>0</v>
      </c>
      <c r="E52" s="26" t="n">
        <v>1</v>
      </c>
      <c r="F52" s="26" t="n">
        <v>2</v>
      </c>
      <c r="G52" s="26" t="n">
        <v>3</v>
      </c>
      <c r="H52" s="26" t="n">
        <v>4</v>
      </c>
      <c r="I52" s="26" t="n">
        <v>5</v>
      </c>
      <c r="J52" s="26" t="n">
        <v>6</v>
      </c>
      <c r="K52" s="26" t="n">
        <v>7</v>
      </c>
      <c r="L52" s="26" t="n">
        <v>8</v>
      </c>
      <c r="M52" s="26" t="n">
        <v>9</v>
      </c>
      <c r="N52" s="26" t="n">
        <v>10</v>
      </c>
    </row>
    <row r="53" customFormat="false" ht="15" hidden="false" customHeight="false" outlineLevel="0" collapsed="false">
      <c r="B53" s="9" t="s">
        <v>194</v>
      </c>
      <c r="E53" s="24" t="n">
        <f aca="false">$C$38</f>
        <v>495</v>
      </c>
      <c r="F53" s="24" t="n">
        <f aca="false">IF(F$52=Inputs!$C$81+1,$C$48,E57)</f>
        <v>495</v>
      </c>
      <c r="G53" s="24" t="n">
        <f aca="false">IF(G$52=Inputs!$C$81+1,$C$48,F57)</f>
        <v>495</v>
      </c>
      <c r="H53" s="24" t="n">
        <f aca="false">IF(H$52=Inputs!$C$81+1,$C$48,G57)</f>
        <v>485.977774484924</v>
      </c>
      <c r="I53" s="24" t="n">
        <f aca="false">IF(I$52=Inputs!$C$81+1,$C$48,H57)</f>
        <v>476.414215438944</v>
      </c>
      <c r="J53" s="24" t="n">
        <f aca="false">IF(J$52=Inputs!$C$81+1,$C$48,I57)</f>
        <v>466.276842850205</v>
      </c>
      <c r="K53" s="24" t="n">
        <f aca="false">IF(K$52=Inputs!$C$81+1,$C$48,J57)</f>
        <v>455.531227906142</v>
      </c>
      <c r="L53" s="24" t="n">
        <f aca="false">IF(L$52=Inputs!$C$81+1,$C$48,K57)</f>
        <v>116.429322431369</v>
      </c>
      <c r="M53" s="24" t="n">
        <f aca="false">IF(M$52=Inputs!$C$81+1,$C$48,L57)</f>
        <v>102.768510602558</v>
      </c>
      <c r="N53" s="24" t="n">
        <f aca="false">IF(N$52=Inputs!$C$81+1,$C$48,M57)</f>
        <v>88.2197460048735</v>
      </c>
    </row>
    <row r="54" customFormat="false" ht="15" hidden="false" customHeight="false" outlineLevel="0" collapsed="false">
      <c r="B54" s="9" t="s">
        <v>195</v>
      </c>
      <c r="E54" s="23" t="n">
        <f aca="false">IF(E$52&lt;=Inputs!$C$81,Inputs!$C$78,Inputs!$C$83)</f>
        <v>0.06</v>
      </c>
      <c r="F54" s="23" t="n">
        <f aca="false">IF(F$52&lt;=Inputs!$C$81,Inputs!$C$78,Inputs!$C$83)</f>
        <v>0.06</v>
      </c>
      <c r="G54" s="23" t="n">
        <f aca="false">IF(G$52&lt;=Inputs!$C$81,Inputs!$C$78,Inputs!$C$83)</f>
        <v>0.06</v>
      </c>
      <c r="H54" s="23" t="n">
        <f aca="false">IF(H$52&lt;=Inputs!$C$81,Inputs!$C$78,Inputs!$C$83)</f>
        <v>0.06</v>
      </c>
      <c r="I54" s="23" t="n">
        <f aca="false">IF(I$52&lt;=Inputs!$C$81,Inputs!$C$78,Inputs!$C$83)</f>
        <v>0.06</v>
      </c>
      <c r="J54" s="23" t="n">
        <f aca="false">IF(J$52&lt;=Inputs!$C$81,Inputs!$C$78,Inputs!$C$83)</f>
        <v>0.06</v>
      </c>
      <c r="K54" s="23" t="n">
        <f aca="false">IF(K$52&lt;=Inputs!$C$81,Inputs!$C$78,Inputs!$C$83)</f>
        <v>0.06</v>
      </c>
      <c r="L54" s="23" t="n">
        <f aca="false">IF(L$52&lt;=Inputs!$C$81,Inputs!$C$78,Inputs!$C$83)</f>
        <v>0.065</v>
      </c>
      <c r="M54" s="23" t="n">
        <f aca="false">IF(M$52&lt;=Inputs!$C$81,Inputs!$C$78,Inputs!$C$83)</f>
        <v>0.065</v>
      </c>
      <c r="N54" s="23" t="n">
        <f aca="false">IF(N$52&lt;=Inputs!$C$81,Inputs!$C$78,Inputs!$C$83)</f>
        <v>0.065</v>
      </c>
    </row>
    <row r="55" customFormat="false" ht="15" hidden="false" customHeight="false" outlineLevel="0" collapsed="false">
      <c r="B55" s="9" t="s">
        <v>196</v>
      </c>
      <c r="E55" s="24" t="n">
        <f aca="false">E53*E54</f>
        <v>29.7</v>
      </c>
      <c r="F55" s="24" t="n">
        <f aca="false">F53*F54</f>
        <v>29.7</v>
      </c>
      <c r="G55" s="24" t="n">
        <f aca="false">G53*G54</f>
        <v>29.7</v>
      </c>
      <c r="H55" s="24" t="n">
        <f aca="false">H53*H54</f>
        <v>29.1586664690955</v>
      </c>
      <c r="I55" s="24" t="n">
        <f aca="false">I53*I54</f>
        <v>28.5848529263367</v>
      </c>
      <c r="J55" s="24" t="n">
        <f aca="false">J53*J54</f>
        <v>27.9766105710123</v>
      </c>
      <c r="K55" s="24" t="n">
        <f aca="false">K53*K54</f>
        <v>27.3318736743685</v>
      </c>
      <c r="L55" s="24" t="n">
        <f aca="false">L53*L54</f>
        <v>7.567905958039</v>
      </c>
      <c r="M55" s="24" t="n">
        <f aca="false">M53*M54</f>
        <v>6.67995318916626</v>
      </c>
      <c r="N55" s="24" t="n">
        <f aca="false">N53*N54</f>
        <v>5.73428349031678</v>
      </c>
    </row>
    <row r="56" customFormat="false" ht="15" hidden="false" customHeight="false" outlineLevel="0" collapsed="false">
      <c r="B56" s="9" t="s">
        <v>197</v>
      </c>
      <c r="E56" s="24" t="n">
        <f aca="false">IF(E$52&lt;=Inputs!$C$81,IF(E$52&lt;=Inputs!$C$79,0,$C$39-E55),$C$50-E55)</f>
        <v>0</v>
      </c>
      <c r="F56" s="24" t="n">
        <f aca="false">IF(F$52&lt;=Inputs!$C$81,IF(F$52&lt;=Inputs!$C$79,0,$C$39-F55),$C$50-F55)</f>
        <v>0</v>
      </c>
      <c r="G56" s="24" t="n">
        <f aca="false">IF(G$52&lt;=Inputs!$C$81,IF(G$52&lt;=Inputs!$C$79,0,$C$39-G55),$C$50-G55)</f>
        <v>9.0222255150756</v>
      </c>
      <c r="H56" s="24" t="n">
        <f aca="false">IF(H$52&lt;=Inputs!$C$81,IF(H$52&lt;=Inputs!$C$79,0,$C$39-H55),$C$50-H55)</f>
        <v>9.56355904598014</v>
      </c>
      <c r="I56" s="24" t="n">
        <f aca="false">IF(I$52&lt;=Inputs!$C$81,IF(I$52&lt;=Inputs!$C$79,0,$C$39-I55),$C$50-I55)</f>
        <v>10.1373725887389</v>
      </c>
      <c r="J56" s="24" t="n">
        <f aca="false">IF(J$52&lt;=Inputs!$C$81,IF(J$52&lt;=Inputs!$C$79,0,$C$39-J55),$C$50-J55)</f>
        <v>10.7456149440633</v>
      </c>
      <c r="K56" s="24" t="n">
        <f aca="false">IF(K$52&lt;=Inputs!$C$81,IF(K$52&lt;=Inputs!$C$79,0,$C$39-K55),$C$50-K55)</f>
        <v>11.3903518407071</v>
      </c>
      <c r="L56" s="24" t="n">
        <f aca="false">IF(L$52&lt;=Inputs!$C$81,IF(L$52&lt;=Inputs!$C$79,0,$C$39-L55),$C$50-L55)</f>
        <v>13.6608118288115</v>
      </c>
      <c r="M56" s="24" t="n">
        <f aca="false">IF(M$52&lt;=Inputs!$C$81,IF(M$52&lt;=Inputs!$C$79,0,$C$39-M55),$C$50-M55)</f>
        <v>14.5487645976842</v>
      </c>
      <c r="N56" s="24" t="n">
        <f aca="false">IF(N$52&lt;=Inputs!$C$81,IF(N$52&lt;=Inputs!$C$79,0,$C$39-N55),$C$50-N55)</f>
        <v>15.4944342965337</v>
      </c>
    </row>
    <row r="57" customFormat="false" ht="15" hidden="false" customHeight="false" outlineLevel="0" collapsed="false">
      <c r="B57" s="29" t="s">
        <v>198</v>
      </c>
      <c r="E57" s="30" t="n">
        <f aca="false">E53-E56</f>
        <v>495</v>
      </c>
      <c r="F57" s="30" t="n">
        <f aca="false">F53-F56</f>
        <v>495</v>
      </c>
      <c r="G57" s="30" t="n">
        <f aca="false">G53-G56</f>
        <v>485.977774484924</v>
      </c>
      <c r="H57" s="30" t="n">
        <f aca="false">H53-H56</f>
        <v>476.414215438944</v>
      </c>
      <c r="I57" s="30" t="n">
        <f aca="false">I53-I56</f>
        <v>466.276842850205</v>
      </c>
      <c r="J57" s="30" t="n">
        <f aca="false">J53-J56</f>
        <v>455.531227906142</v>
      </c>
      <c r="K57" s="30" t="n">
        <f aca="false">K53-K56</f>
        <v>444.140876065435</v>
      </c>
      <c r="L57" s="30" t="n">
        <f aca="false">L53-L56</f>
        <v>102.768510602558</v>
      </c>
      <c r="M57" s="30" t="n">
        <f aca="false">M53-M56</f>
        <v>88.2197460048735</v>
      </c>
      <c r="N57" s="30" t="n">
        <f aca="false">N53-N56</f>
        <v>72.7253117083398</v>
      </c>
    </row>
    <row r="58" customFormat="false" ht="15" hidden="false" customHeight="false" outlineLevel="0" collapsed="false">
      <c r="B58" s="9" t="s">
        <v>199</v>
      </c>
      <c r="E58" s="24" t="n">
        <f aca="false">E55+E56</f>
        <v>29.7</v>
      </c>
      <c r="F58" s="24" t="n">
        <f aca="false">F55+F56</f>
        <v>29.7</v>
      </c>
      <c r="G58" s="24" t="n">
        <f aca="false">G55+G56</f>
        <v>38.7222255150756</v>
      </c>
      <c r="H58" s="24" t="n">
        <f aca="false">H55+H56</f>
        <v>38.7222255150756</v>
      </c>
      <c r="I58" s="24" t="n">
        <f aca="false">I55+I56</f>
        <v>38.7222255150756</v>
      </c>
      <c r="J58" s="24" t="n">
        <f aca="false">J55+J56</f>
        <v>38.7222255150756</v>
      </c>
      <c r="K58" s="24" t="n">
        <f aca="false">K55+K56</f>
        <v>38.7222255150756</v>
      </c>
      <c r="L58" s="24" t="n">
        <f aca="false">L55+L56</f>
        <v>21.2287177868505</v>
      </c>
      <c r="M58" s="24" t="n">
        <f aca="false">M55+M56</f>
        <v>21.2287177868505</v>
      </c>
      <c r="N58" s="24" t="n">
        <f aca="false">N55+N56</f>
        <v>21.2287177868505</v>
      </c>
    </row>
    <row r="59" customFormat="false" ht="15" hidden="false" customHeight="false" outlineLevel="0" collapsed="false">
      <c r="B59" s="9" t="s">
        <v>200</v>
      </c>
      <c r="E59" s="22" t="n">
        <f aca="false">(Scenarios!E34-Scenarios!E35)/E58</f>
        <v>1.66612945454545</v>
      </c>
      <c r="F59" s="22" t="n">
        <f aca="false">(Scenarios!F34-Scenarios!F35)/F58</f>
        <v>1.71053046949495</v>
      </c>
      <c r="G59" s="22" t="n">
        <f aca="false">(Scenarios!G34-Scenarios!G35)/G58</f>
        <v>2.04570241088131</v>
      </c>
      <c r="H59" s="22" t="n">
        <f aca="false">(Scenarios!H34-Scenarios!H35)/H58</f>
        <v>2.09424485669414</v>
      </c>
      <c r="I59" s="22" t="n">
        <f aca="false">(Scenarios!I34-Scenarios!I35)/I58</f>
        <v>2.09504872421673</v>
      </c>
      <c r="J59" s="22" t="n">
        <f aca="false">(Scenarios!J34-Scenarios!J35)/J58</f>
        <v>2.13184507369254</v>
      </c>
      <c r="K59" s="22" t="n">
        <f aca="false">(Scenarios!K34-Scenarios!K35)/K58</f>
        <v>2.16924404696173</v>
      </c>
      <c r="L59" s="22" t="n">
        <f aca="false">(Scenarios!L34-Scenarios!L35)/L58</f>
        <v>4.02613994142516</v>
      </c>
      <c r="M59" s="22" t="n">
        <f aca="false">(Scenarios!M34-Scenarios!M35)/M58</f>
        <v>1.22650029649591</v>
      </c>
      <c r="N59" s="22" t="n">
        <f aca="false">(Scenarios!N34-Scenarios!N35)/N58</f>
        <v>4.16794243105521</v>
      </c>
    </row>
    <row r="60" customFormat="false" ht="15" hidden="false" customHeight="false" outlineLevel="0" collapsed="false">
      <c r="B60" s="29" t="s">
        <v>201</v>
      </c>
      <c r="C60" s="32" t="n">
        <f aca="false">MIN(I59:K59)</f>
        <v>2.09504872421673</v>
      </c>
    </row>
    <row r="62" customFormat="false" ht="15" hidden="false" customHeight="false" outlineLevel="0" collapsed="false">
      <c r="B62" s="25" t="s">
        <v>202</v>
      </c>
      <c r="C62" s="26"/>
      <c r="D62" s="26" t="n">
        <v>0</v>
      </c>
      <c r="E62" s="26" t="n">
        <v>1</v>
      </c>
      <c r="F62" s="26" t="n">
        <v>2</v>
      </c>
      <c r="G62" s="26" t="n">
        <v>3</v>
      </c>
      <c r="H62" s="26" t="n">
        <v>4</v>
      </c>
      <c r="I62" s="26" t="n">
        <v>5</v>
      </c>
      <c r="J62" s="26" t="n">
        <v>6</v>
      </c>
      <c r="K62" s="26" t="n">
        <v>7</v>
      </c>
      <c r="L62" s="26" t="n">
        <v>8</v>
      </c>
      <c r="M62" s="26" t="n">
        <v>9</v>
      </c>
      <c r="N62" s="26" t="n">
        <v>10</v>
      </c>
    </row>
    <row r="63" customFormat="false" ht="15" hidden="false" customHeight="false" outlineLevel="0" collapsed="false">
      <c r="B63" s="9" t="s">
        <v>203</v>
      </c>
      <c r="D63" s="24" t="n">
        <f aca="false">$C$38*(1-Inputs!$C$82)</f>
        <v>490.05</v>
      </c>
      <c r="E63" s="24" t="n">
        <f aca="false">-E58+IF(E$52=Inputs!$C$81,$C$49,0)</f>
        <v>-29.7</v>
      </c>
      <c r="F63" s="24" t="n">
        <f aca="false">-F58+IF(F$52=Inputs!$C$81,$C$49,0)</f>
        <v>-29.7</v>
      </c>
      <c r="G63" s="24" t="n">
        <f aca="false">-G58+IF(G$52=Inputs!$C$81,$C$49,0)</f>
        <v>-38.7222255150756</v>
      </c>
      <c r="H63" s="24" t="n">
        <f aca="false">-H58+IF(H$52=Inputs!$C$81,$C$49,0)</f>
        <v>-38.7222255150756</v>
      </c>
      <c r="I63" s="24" t="n">
        <f aca="false">-I58+IF(I$52=Inputs!$C$81,$C$49,0)</f>
        <v>-38.7222255150756</v>
      </c>
      <c r="J63" s="24" t="n">
        <f aca="false">-J58+IF(J$52=Inputs!$C$81,$C$49,0)</f>
        <v>-38.7222255150756</v>
      </c>
      <c r="K63" s="24" t="n">
        <f aca="false">-K58+IF(K$52=Inputs!$C$81,$C$49,0)</f>
        <v>-367.598072373455</v>
      </c>
      <c r="L63" s="24" t="n">
        <f aca="false">-L58+IF(L$52=Inputs!$C$81,$C$49,0)</f>
        <v>-21.2287177868505</v>
      </c>
      <c r="M63" s="24" t="n">
        <f aca="false">-M58+IF(M$52=Inputs!$C$81,$C$49,0)</f>
        <v>-21.2287177868505</v>
      </c>
      <c r="N63" s="24" t="n">
        <f aca="false">-N58+IF(N$52=Inputs!$C$81,$C$49,0)-N57</f>
        <v>-93.9540294951903</v>
      </c>
    </row>
    <row r="64" customFormat="false" ht="15" hidden="false" customHeight="false" outlineLevel="0" collapsed="false">
      <c r="B64" s="29" t="s">
        <v>202</v>
      </c>
      <c r="D64" s="30" t="n">
        <f aca="false">Scenarios!D50+D63</f>
        <v>-427.95</v>
      </c>
      <c r="E64" s="30" t="n">
        <f aca="false">Scenarios!E50+E63</f>
        <v>-64.2159552</v>
      </c>
      <c r="F64" s="30" t="n">
        <f aca="false">Scenarios!F50+F63</f>
        <v>-62.897245056</v>
      </c>
      <c r="G64" s="30" t="n">
        <f aca="false">Scenarios!G50+G63</f>
        <v>40.4919245758044</v>
      </c>
      <c r="H64" s="30" t="n">
        <f aca="false">Scenarios!H50+H63</f>
        <v>42.371596109622</v>
      </c>
      <c r="I64" s="30" t="n">
        <f aca="false">Scenarios!I50+I63</f>
        <v>42.4027236491159</v>
      </c>
      <c r="J64" s="30" t="n">
        <f aca="false">Scenarios!J50+J63</f>
        <v>43.8275601916498</v>
      </c>
      <c r="K64" s="30" t="n">
        <f aca="false">Scenarios!K50+K63</f>
        <v>-283.600115189768</v>
      </c>
      <c r="L64" s="30" t="n">
        <f aca="false">Scenarios!L50+L63</f>
        <v>64.241070800031</v>
      </c>
      <c r="M64" s="30" t="n">
        <f aca="false">Scenarios!M50+M63</f>
        <v>-78.3916891270504</v>
      </c>
      <c r="N64" s="30" t="n">
        <f aca="false">Scenarios!N50+N63</f>
        <v>1579.89034386586</v>
      </c>
    </row>
    <row r="65" customFormat="false" ht="15" hidden="false" customHeight="false" outlineLevel="0" collapsed="false">
      <c r="B65" s="29" t="s">
        <v>204</v>
      </c>
      <c r="C65" s="31" t="n">
        <f aca="false">IRR(D64:N64,0.08)</f>
        <v>0.106923167450882</v>
      </c>
    </row>
    <row r="66" customFormat="false" ht="15" hidden="false" customHeight="false" outlineLevel="0" collapsed="false">
      <c r="B66" s="9" t="s">
        <v>205</v>
      </c>
      <c r="C66" s="33" t="n">
        <f aca="false">SUMIF(D64:N64,"&gt;0")/-SUMIF(D64:N64,"&lt;0")</f>
        <v>1.97722624068413</v>
      </c>
    </row>
    <row r="67" customFormat="false" ht="15" hidden="false" customHeight="false" outlineLevel="0" collapsed="false">
      <c r="B67" s="9" t="s">
        <v>206</v>
      </c>
      <c r="C67" s="24" t="n">
        <f aca="false">-D64</f>
        <v>427.95</v>
      </c>
    </row>
    <row r="70" customFormat="false" ht="15" hidden="false" customHeight="false" outlineLevel="0" collapsed="false">
      <c r="B70" s="7" t="s">
        <v>208</v>
      </c>
      <c r="C70" s="8"/>
      <c r="D70" s="8"/>
      <c r="E70" s="8"/>
      <c r="F70" s="8"/>
      <c r="G70" s="8"/>
      <c r="H70" s="8"/>
      <c r="I70" s="8"/>
      <c r="J70" s="8"/>
      <c r="K70" s="8"/>
      <c r="L70" s="8"/>
      <c r="M70" s="8"/>
      <c r="N70" s="8"/>
    </row>
    <row r="71" customFormat="false" ht="15" hidden="false" customHeight="false" outlineLevel="0" collapsed="false">
      <c r="B71" s="9" t="s">
        <v>180</v>
      </c>
      <c r="C71" s="24" t="n">
        <f aca="false">Inputs!$C$77*Scenarios!$C$65</f>
        <v>495</v>
      </c>
    </row>
    <row r="72" customFormat="false" ht="15" hidden="false" customHeight="false" outlineLevel="0" collapsed="false">
      <c r="B72" s="9" t="s">
        <v>181</v>
      </c>
      <c r="C72" s="24" t="n">
        <f aca="false">$C$71*Inputs!$C$78/(1-(1+Inputs!$C$78)^(-Inputs!$C$80))</f>
        <v>38.7222255150756</v>
      </c>
    </row>
    <row r="73" customFormat="false" ht="15" hidden="false" customHeight="false" outlineLevel="0" collapsed="false">
      <c r="B73" s="9" t="s">
        <v>182</v>
      </c>
      <c r="C73" s="24" t="n">
        <f aca="false">$C$71*(1+Inputs!$C$78)^(Inputs!$C$81-Inputs!$C$79)-$C$72*((1+Inputs!$C$78)^(Inputs!$C$81-Inputs!$C$79)-1)/Inputs!$C$78</f>
        <v>444.140876065435</v>
      </c>
    </row>
    <row r="74" customFormat="false" ht="15" hidden="false" customHeight="false" outlineLevel="0" collapsed="false">
      <c r="B74" s="9" t="s">
        <v>183</v>
      </c>
      <c r="C74" s="20" t="n">
        <f aca="false">IF(Scenarios!$C$55="renew",1,0)</f>
        <v>0</v>
      </c>
    </row>
    <row r="75" customFormat="false" ht="15" hidden="false" customHeight="false" outlineLevel="0" collapsed="false">
      <c r="B75" s="9" t="s">
        <v>184</v>
      </c>
      <c r="C75" s="20" t="n">
        <f aca="false">IF($C$74=1,Inputs!$C$86,Inputs!$C$87)</f>
        <v>7</v>
      </c>
    </row>
    <row r="76" customFormat="false" ht="15" hidden="false" customHeight="false" outlineLevel="0" collapsed="false">
      <c r="B76" s="9" t="s">
        <v>185</v>
      </c>
      <c r="C76" s="24" t="n">
        <f aca="false">IF($C$74=1,INDEX(Scenarios!$E$83:$O$83,(Inputs!$C$81+1))-INDEX(Scenarios!$E$84:$O$84,(Inputs!$C$81+1)),INDEX(Scenarios!$E$78:$O$78,(Inputs!$C$81+1))+INDEX(Scenarios!$E$80:$O$80,(Inputs!$C$81+1))-INDEX(Scenarios!$E$81:$O$81,(Inputs!$C$81+1))-Inputs!$C$12*INDEX(Scenarios!$E$78:$O$78,(Inputs!$C$81+1))-Inputs!$C$39*(1+Inputs!$C$11)^((Inputs!$C$81+1)-1))</f>
        <v>29.7202049015907</v>
      </c>
    </row>
    <row r="77" customFormat="false" ht="15" hidden="false" customHeight="false" outlineLevel="0" collapsed="false">
      <c r="B77" s="9" t="s">
        <v>186</v>
      </c>
      <c r="C77" s="24" t="n">
        <f aca="false">$C$76/Inputs!$C$84</f>
        <v>21.2287177868505</v>
      </c>
    </row>
    <row r="78" customFormat="false" ht="15" hidden="false" customHeight="false" outlineLevel="0" collapsed="false">
      <c r="B78" s="9" t="s">
        <v>187</v>
      </c>
      <c r="C78" s="24" t="n">
        <f aca="false">$C$77*(1-(1+Inputs!$C$83)^(-$C$75))/Inputs!$C$83</f>
        <v>116.429322431369</v>
      </c>
    </row>
    <row r="79" customFormat="false" ht="15" hidden="false" customHeight="false" outlineLevel="0" collapsed="false">
      <c r="B79" s="9" t="s">
        <v>188</v>
      </c>
      <c r="C79" s="24" t="n">
        <f aca="false">$C$76/Scenarios!$C$90</f>
        <v>409.933860711596</v>
      </c>
    </row>
    <row r="80" customFormat="false" ht="15" hidden="false" customHeight="false" outlineLevel="0" collapsed="false">
      <c r="B80" s="9" t="s">
        <v>189</v>
      </c>
      <c r="C80" s="24" t="n">
        <f aca="false">Inputs!$C$85*$C$79</f>
        <v>225.463623391378</v>
      </c>
    </row>
    <row r="81" customFormat="false" ht="15" hidden="false" customHeight="false" outlineLevel="0" collapsed="false">
      <c r="B81" s="29" t="s">
        <v>190</v>
      </c>
      <c r="C81" s="30" t="n">
        <f aca="false">MIN($C$78,$C$80)</f>
        <v>116.429322431369</v>
      </c>
    </row>
    <row r="82" customFormat="false" ht="15" hidden="false" customHeight="false" outlineLevel="0" collapsed="false">
      <c r="B82" s="29" t="s">
        <v>191</v>
      </c>
      <c r="C82" s="30" t="n">
        <f aca="false">$C$81*(1-Inputs!$C$82)-$C$73</f>
        <v>-328.875846858379</v>
      </c>
    </row>
    <row r="83" customFormat="false" ht="15" hidden="false" customHeight="false" outlineLevel="0" collapsed="false">
      <c r="B83" s="9" t="s">
        <v>192</v>
      </c>
      <c r="C83" s="24" t="n">
        <f aca="false">$C$81*Inputs!$C$83/(1-(1+Inputs!$C$83)^(-$C$75))</f>
        <v>21.2287177868505</v>
      </c>
    </row>
    <row r="85" customFormat="false" ht="15" hidden="false" customHeight="false" outlineLevel="0" collapsed="false">
      <c r="B85" s="25" t="s">
        <v>193</v>
      </c>
      <c r="C85" s="26"/>
      <c r="D85" s="26" t="n">
        <v>0</v>
      </c>
      <c r="E85" s="26" t="n">
        <v>1</v>
      </c>
      <c r="F85" s="26" t="n">
        <v>2</v>
      </c>
      <c r="G85" s="26" t="n">
        <v>3</v>
      </c>
      <c r="H85" s="26" t="n">
        <v>4</v>
      </c>
      <c r="I85" s="26" t="n">
        <v>5</v>
      </c>
      <c r="J85" s="26" t="n">
        <v>6</v>
      </c>
      <c r="K85" s="26" t="n">
        <v>7</v>
      </c>
      <c r="L85" s="26" t="n">
        <v>8</v>
      </c>
      <c r="M85" s="26" t="n">
        <v>9</v>
      </c>
      <c r="N85" s="26" t="n">
        <v>10</v>
      </c>
    </row>
    <row r="86" customFormat="false" ht="15" hidden="false" customHeight="false" outlineLevel="0" collapsed="false">
      <c r="B86" s="9" t="s">
        <v>194</v>
      </c>
      <c r="E86" s="24" t="n">
        <f aca="false">$C$71</f>
        <v>495</v>
      </c>
      <c r="F86" s="24" t="n">
        <f aca="false">IF(F$85=Inputs!$C$81+1,$C$81,E90)</f>
        <v>495</v>
      </c>
      <c r="G86" s="24" t="n">
        <f aca="false">IF(G$85=Inputs!$C$81+1,$C$81,F90)</f>
        <v>495</v>
      </c>
      <c r="H86" s="24" t="n">
        <f aca="false">IF(H$85=Inputs!$C$81+1,$C$81,G90)</f>
        <v>485.977774484924</v>
      </c>
      <c r="I86" s="24" t="n">
        <f aca="false">IF(I$85=Inputs!$C$81+1,$C$81,H90)</f>
        <v>476.414215438944</v>
      </c>
      <c r="J86" s="24" t="n">
        <f aca="false">IF(J$85=Inputs!$C$81+1,$C$81,I90)</f>
        <v>466.276842850205</v>
      </c>
      <c r="K86" s="24" t="n">
        <f aca="false">IF(K$85=Inputs!$C$81+1,$C$81,J90)</f>
        <v>455.531227906142</v>
      </c>
      <c r="L86" s="24" t="n">
        <f aca="false">IF(L$85=Inputs!$C$81+1,$C$81,K90)</f>
        <v>116.429322431369</v>
      </c>
      <c r="M86" s="24" t="n">
        <f aca="false">IF(M$85=Inputs!$C$81+1,$C$81,L90)</f>
        <v>102.768510602558</v>
      </c>
      <c r="N86" s="24" t="n">
        <f aca="false">IF(N$85=Inputs!$C$81+1,$C$81,M90)</f>
        <v>88.2197460048735</v>
      </c>
    </row>
    <row r="87" customFormat="false" ht="15" hidden="false" customHeight="false" outlineLevel="0" collapsed="false">
      <c r="B87" s="9" t="s">
        <v>195</v>
      </c>
      <c r="E87" s="23" t="n">
        <f aca="false">IF(E$85&lt;=Inputs!$C$81,Inputs!$C$78,Inputs!$C$83)</f>
        <v>0.06</v>
      </c>
      <c r="F87" s="23" t="n">
        <f aca="false">IF(F$85&lt;=Inputs!$C$81,Inputs!$C$78,Inputs!$C$83)</f>
        <v>0.06</v>
      </c>
      <c r="G87" s="23" t="n">
        <f aca="false">IF(G$85&lt;=Inputs!$C$81,Inputs!$C$78,Inputs!$C$83)</f>
        <v>0.06</v>
      </c>
      <c r="H87" s="23" t="n">
        <f aca="false">IF(H$85&lt;=Inputs!$C$81,Inputs!$C$78,Inputs!$C$83)</f>
        <v>0.06</v>
      </c>
      <c r="I87" s="23" t="n">
        <f aca="false">IF(I$85&lt;=Inputs!$C$81,Inputs!$C$78,Inputs!$C$83)</f>
        <v>0.06</v>
      </c>
      <c r="J87" s="23" t="n">
        <f aca="false">IF(J$85&lt;=Inputs!$C$81,Inputs!$C$78,Inputs!$C$83)</f>
        <v>0.06</v>
      </c>
      <c r="K87" s="23" t="n">
        <f aca="false">IF(K$85&lt;=Inputs!$C$81,Inputs!$C$78,Inputs!$C$83)</f>
        <v>0.06</v>
      </c>
      <c r="L87" s="23" t="n">
        <f aca="false">IF(L$85&lt;=Inputs!$C$81,Inputs!$C$78,Inputs!$C$83)</f>
        <v>0.065</v>
      </c>
      <c r="M87" s="23" t="n">
        <f aca="false">IF(M$85&lt;=Inputs!$C$81,Inputs!$C$78,Inputs!$C$83)</f>
        <v>0.065</v>
      </c>
      <c r="N87" s="23" t="n">
        <f aca="false">IF(N$85&lt;=Inputs!$C$81,Inputs!$C$78,Inputs!$C$83)</f>
        <v>0.065</v>
      </c>
    </row>
    <row r="88" customFormat="false" ht="15" hidden="false" customHeight="false" outlineLevel="0" collapsed="false">
      <c r="B88" s="9" t="s">
        <v>196</v>
      </c>
      <c r="E88" s="24" t="n">
        <f aca="false">E86*E87</f>
        <v>29.7</v>
      </c>
      <c r="F88" s="24" t="n">
        <f aca="false">F86*F87</f>
        <v>29.7</v>
      </c>
      <c r="G88" s="24" t="n">
        <f aca="false">G86*G87</f>
        <v>29.7</v>
      </c>
      <c r="H88" s="24" t="n">
        <f aca="false">H86*H87</f>
        <v>29.1586664690955</v>
      </c>
      <c r="I88" s="24" t="n">
        <f aca="false">I86*I87</f>
        <v>28.5848529263367</v>
      </c>
      <c r="J88" s="24" t="n">
        <f aca="false">J86*J87</f>
        <v>27.9766105710123</v>
      </c>
      <c r="K88" s="24" t="n">
        <f aca="false">K86*K87</f>
        <v>27.3318736743685</v>
      </c>
      <c r="L88" s="24" t="n">
        <f aca="false">L86*L87</f>
        <v>7.567905958039</v>
      </c>
      <c r="M88" s="24" t="n">
        <f aca="false">M86*M87</f>
        <v>6.67995318916626</v>
      </c>
      <c r="N88" s="24" t="n">
        <f aca="false">N86*N87</f>
        <v>5.73428349031678</v>
      </c>
    </row>
    <row r="89" customFormat="false" ht="15" hidden="false" customHeight="false" outlineLevel="0" collapsed="false">
      <c r="B89" s="9" t="s">
        <v>197</v>
      </c>
      <c r="E89" s="24" t="n">
        <f aca="false">IF(E$85&lt;=Inputs!$C$81,IF(E$85&lt;=Inputs!$C$79,0,$C$72-E88),$C$83-E88)</f>
        <v>0</v>
      </c>
      <c r="F89" s="24" t="n">
        <f aca="false">IF(F$85&lt;=Inputs!$C$81,IF(F$85&lt;=Inputs!$C$79,0,$C$72-F88),$C$83-F88)</f>
        <v>0</v>
      </c>
      <c r="G89" s="24" t="n">
        <f aca="false">IF(G$85&lt;=Inputs!$C$81,IF(G$85&lt;=Inputs!$C$79,0,$C$72-G88),$C$83-G88)</f>
        <v>9.0222255150756</v>
      </c>
      <c r="H89" s="24" t="n">
        <f aca="false">IF(H$85&lt;=Inputs!$C$81,IF(H$85&lt;=Inputs!$C$79,0,$C$72-H88),$C$83-H88)</f>
        <v>9.56355904598014</v>
      </c>
      <c r="I89" s="24" t="n">
        <f aca="false">IF(I$85&lt;=Inputs!$C$81,IF(I$85&lt;=Inputs!$C$79,0,$C$72-I88),$C$83-I88)</f>
        <v>10.1373725887389</v>
      </c>
      <c r="J89" s="24" t="n">
        <f aca="false">IF(J$85&lt;=Inputs!$C$81,IF(J$85&lt;=Inputs!$C$79,0,$C$72-J88),$C$83-J88)</f>
        <v>10.7456149440633</v>
      </c>
      <c r="K89" s="24" t="n">
        <f aca="false">IF(K$85&lt;=Inputs!$C$81,IF(K$85&lt;=Inputs!$C$79,0,$C$72-K88),$C$83-K88)</f>
        <v>11.3903518407071</v>
      </c>
      <c r="L89" s="24" t="n">
        <f aca="false">IF(L$85&lt;=Inputs!$C$81,IF(L$85&lt;=Inputs!$C$79,0,$C$72-L88),$C$83-L88)</f>
        <v>13.6608118288115</v>
      </c>
      <c r="M89" s="24" t="n">
        <f aca="false">IF(M$85&lt;=Inputs!$C$81,IF(M$85&lt;=Inputs!$C$79,0,$C$72-M88),$C$83-M88)</f>
        <v>14.5487645976842</v>
      </c>
      <c r="N89" s="24" t="n">
        <f aca="false">IF(N$85&lt;=Inputs!$C$81,IF(N$85&lt;=Inputs!$C$79,0,$C$72-N88),$C$83-N88)</f>
        <v>15.4944342965337</v>
      </c>
    </row>
    <row r="90" customFormat="false" ht="15" hidden="false" customHeight="false" outlineLevel="0" collapsed="false">
      <c r="B90" s="29" t="s">
        <v>198</v>
      </c>
      <c r="E90" s="30" t="n">
        <f aca="false">E86-E89</f>
        <v>495</v>
      </c>
      <c r="F90" s="30" t="n">
        <f aca="false">F86-F89</f>
        <v>495</v>
      </c>
      <c r="G90" s="30" t="n">
        <f aca="false">G86-G89</f>
        <v>485.977774484924</v>
      </c>
      <c r="H90" s="30" t="n">
        <f aca="false">H86-H89</f>
        <v>476.414215438944</v>
      </c>
      <c r="I90" s="30" t="n">
        <f aca="false">I86-I89</f>
        <v>466.276842850205</v>
      </c>
      <c r="J90" s="30" t="n">
        <f aca="false">J86-J89</f>
        <v>455.531227906142</v>
      </c>
      <c r="K90" s="30" t="n">
        <f aca="false">K86-K89</f>
        <v>444.140876065435</v>
      </c>
      <c r="L90" s="30" t="n">
        <f aca="false">L86-L89</f>
        <v>102.768510602558</v>
      </c>
      <c r="M90" s="30" t="n">
        <f aca="false">M86-M89</f>
        <v>88.2197460048735</v>
      </c>
      <c r="N90" s="30" t="n">
        <f aca="false">N86-N89</f>
        <v>72.7253117083398</v>
      </c>
    </row>
    <row r="91" customFormat="false" ht="15" hidden="false" customHeight="false" outlineLevel="0" collapsed="false">
      <c r="B91" s="9" t="s">
        <v>199</v>
      </c>
      <c r="E91" s="24" t="n">
        <f aca="false">E88+E89</f>
        <v>29.7</v>
      </c>
      <c r="F91" s="24" t="n">
        <f aca="false">F88+F89</f>
        <v>29.7</v>
      </c>
      <c r="G91" s="24" t="n">
        <f aca="false">G88+G89</f>
        <v>38.7222255150756</v>
      </c>
      <c r="H91" s="24" t="n">
        <f aca="false">H88+H89</f>
        <v>38.7222255150756</v>
      </c>
      <c r="I91" s="24" t="n">
        <f aca="false">I88+I89</f>
        <v>38.7222255150756</v>
      </c>
      <c r="J91" s="24" t="n">
        <f aca="false">J88+J89</f>
        <v>38.7222255150756</v>
      </c>
      <c r="K91" s="24" t="n">
        <f aca="false">K88+K89</f>
        <v>38.7222255150756</v>
      </c>
      <c r="L91" s="24" t="n">
        <f aca="false">L88+L89</f>
        <v>21.2287177868505</v>
      </c>
      <c r="M91" s="24" t="n">
        <f aca="false">M88+M89</f>
        <v>21.2287177868505</v>
      </c>
      <c r="N91" s="24" t="n">
        <f aca="false">N88+N89</f>
        <v>21.2287177868505</v>
      </c>
    </row>
    <row r="92" customFormat="false" ht="15" hidden="false" customHeight="false" outlineLevel="0" collapsed="false">
      <c r="B92" s="9" t="s">
        <v>200</v>
      </c>
      <c r="E92" s="22" t="n">
        <f aca="false">(Scenarios!E83-Scenarios!E84)/E91</f>
        <v>1.66612945454545</v>
      </c>
      <c r="F92" s="22" t="n">
        <f aca="false">(Scenarios!F83-Scenarios!F84)/F91</f>
        <v>1.71053046949495</v>
      </c>
      <c r="G92" s="22" t="n">
        <f aca="false">(Scenarios!G83-Scenarios!G84)/G91</f>
        <v>2.04570241088131</v>
      </c>
      <c r="H92" s="22" t="n">
        <f aca="false">(Scenarios!H83-Scenarios!H84)/H91</f>
        <v>2.09424485669414</v>
      </c>
      <c r="I92" s="22" t="n">
        <f aca="false">(Scenarios!I83-Scenarios!I84)/I91</f>
        <v>2.09504872421673</v>
      </c>
      <c r="J92" s="22" t="n">
        <f aca="false">(Scenarios!J83-Scenarios!J84)/J91</f>
        <v>2.13184507369254</v>
      </c>
      <c r="K92" s="22" t="n">
        <f aca="false">(Scenarios!K83-Scenarios!K84)/K91</f>
        <v>2.16924404696173</v>
      </c>
      <c r="L92" s="22" t="n">
        <f aca="false">(Scenarios!L83-Scenarios!L84)/L91</f>
        <v>4.02613994142516</v>
      </c>
      <c r="M92" s="22" t="n">
        <f aca="false">(Scenarios!M83-Scenarios!M84)/M91</f>
        <v>1.04300744311784</v>
      </c>
      <c r="N92" s="22" t="n">
        <f aca="false">(Scenarios!N83-Scenarios!N84)/N91</f>
        <v>2.26559005919222</v>
      </c>
    </row>
    <row r="93" customFormat="false" ht="15" hidden="false" customHeight="false" outlineLevel="0" collapsed="false">
      <c r="B93" s="29" t="s">
        <v>201</v>
      </c>
      <c r="C93" s="32" t="n">
        <f aca="false">MIN(I92:K92)</f>
        <v>2.09504872421673</v>
      </c>
    </row>
    <row r="95" customFormat="false" ht="15" hidden="false" customHeight="false" outlineLevel="0" collapsed="false">
      <c r="B95" s="25" t="s">
        <v>202</v>
      </c>
      <c r="C95" s="26"/>
      <c r="D95" s="26" t="n">
        <v>0</v>
      </c>
      <c r="E95" s="26" t="n">
        <v>1</v>
      </c>
      <c r="F95" s="26" t="n">
        <v>2</v>
      </c>
      <c r="G95" s="26" t="n">
        <v>3</v>
      </c>
      <c r="H95" s="26" t="n">
        <v>4</v>
      </c>
      <c r="I95" s="26" t="n">
        <v>5</v>
      </c>
      <c r="J95" s="26" t="n">
        <v>6</v>
      </c>
      <c r="K95" s="26" t="n">
        <v>7</v>
      </c>
      <c r="L95" s="26" t="n">
        <v>8</v>
      </c>
      <c r="M95" s="26" t="n">
        <v>9</v>
      </c>
      <c r="N95" s="26" t="n">
        <v>10</v>
      </c>
    </row>
    <row r="96" customFormat="false" ht="15" hidden="false" customHeight="false" outlineLevel="0" collapsed="false">
      <c r="B96" s="9" t="s">
        <v>203</v>
      </c>
      <c r="D96" s="24" t="n">
        <f aca="false">$C$71*(1-Inputs!$C$82)</f>
        <v>490.05</v>
      </c>
      <c r="E96" s="24" t="n">
        <f aca="false">-E91+IF(E$85=Inputs!$C$81,$C$82,0)</f>
        <v>-29.7</v>
      </c>
      <c r="F96" s="24" t="n">
        <f aca="false">-F91+IF(F$85=Inputs!$C$81,$C$82,0)</f>
        <v>-29.7</v>
      </c>
      <c r="G96" s="24" t="n">
        <f aca="false">-G91+IF(G$85=Inputs!$C$81,$C$82,0)</f>
        <v>-38.7222255150756</v>
      </c>
      <c r="H96" s="24" t="n">
        <f aca="false">-H91+IF(H$85=Inputs!$C$81,$C$82,0)</f>
        <v>-38.7222255150756</v>
      </c>
      <c r="I96" s="24" t="n">
        <f aca="false">-I91+IF(I$85=Inputs!$C$81,$C$82,0)</f>
        <v>-38.7222255150756</v>
      </c>
      <c r="J96" s="24" t="n">
        <f aca="false">-J91+IF(J$85=Inputs!$C$81,$C$82,0)</f>
        <v>-38.7222255150756</v>
      </c>
      <c r="K96" s="24" t="n">
        <f aca="false">-K91+IF(K$85=Inputs!$C$81,$C$82,0)</f>
        <v>-367.598072373455</v>
      </c>
      <c r="L96" s="24" t="n">
        <f aca="false">-L91+IF(L$85=Inputs!$C$81,$C$82,0)</f>
        <v>-21.2287177868505</v>
      </c>
      <c r="M96" s="24" t="n">
        <f aca="false">-M91+IF(M$85=Inputs!$C$81,$C$82,0)</f>
        <v>-21.2287177868505</v>
      </c>
      <c r="N96" s="24" t="n">
        <f aca="false">-N91+IF(N$85=Inputs!$C$81,$C$82,0)-N90</f>
        <v>-93.9540294951903</v>
      </c>
    </row>
    <row r="97" customFormat="false" ht="15" hidden="false" customHeight="false" outlineLevel="0" collapsed="false">
      <c r="B97" s="29" t="s">
        <v>202</v>
      </c>
      <c r="D97" s="30" t="n">
        <f aca="false">Scenarios!D99+D96</f>
        <v>-427.95</v>
      </c>
      <c r="E97" s="30" t="n">
        <f aca="false">Scenarios!E99+E96</f>
        <v>-64.2159552</v>
      </c>
      <c r="F97" s="30" t="n">
        <f aca="false">Scenarios!F99+F96</f>
        <v>-62.897245056</v>
      </c>
      <c r="G97" s="30" t="n">
        <f aca="false">Scenarios!G99+G96</f>
        <v>40.4919245758044</v>
      </c>
      <c r="H97" s="30" t="n">
        <f aca="false">Scenarios!H99+H96</f>
        <v>42.371596109622</v>
      </c>
      <c r="I97" s="30" t="n">
        <f aca="false">Scenarios!I99+I96</f>
        <v>42.4027236491159</v>
      </c>
      <c r="J97" s="30" t="n">
        <f aca="false">Scenarios!J99+J96</f>
        <v>43.8275601916498</v>
      </c>
      <c r="K97" s="30" t="n">
        <f aca="false">Scenarios!K99+K96</f>
        <v>-283.600115189768</v>
      </c>
      <c r="L97" s="30" t="n">
        <f aca="false">Scenarios!L99+L96</f>
        <v>64.241070800031</v>
      </c>
      <c r="M97" s="30" t="n">
        <f aca="false">Scenarios!M99+M96</f>
        <v>-24.6870071273174</v>
      </c>
      <c r="N97" s="30" t="n">
        <f aca="false">Scenarios!N99+N96</f>
        <v>845.37805303243</v>
      </c>
    </row>
    <row r="98" customFormat="false" ht="15" hidden="false" customHeight="false" outlineLevel="0" collapsed="false">
      <c r="B98" s="29" t="s">
        <v>204</v>
      </c>
      <c r="C98" s="31" t="n">
        <f aca="false">IRR(D97:N97,0.08)</f>
        <v>0.0356399607632241</v>
      </c>
    </row>
    <row r="99" customFormat="false" ht="15" hidden="false" customHeight="false" outlineLevel="0" collapsed="false">
      <c r="B99" s="9" t="s">
        <v>205</v>
      </c>
      <c r="C99" s="33" t="n">
        <f aca="false">SUMIF(D97:N97,"&gt;0")/-SUMIF(D97:N97,"&lt;0")</f>
        <v>1.24944984689843</v>
      </c>
    </row>
    <row r="100" customFormat="false" ht="15" hidden="false" customHeight="false" outlineLevel="0" collapsed="false">
      <c r="B100" s="9" t="s">
        <v>206</v>
      </c>
      <c r="C100" s="24" t="n">
        <f aca="false">-D97</f>
        <v>427.95</v>
      </c>
    </row>
    <row r="103" customFormat="false" ht="15" hidden="false" customHeight="false" outlineLevel="0" collapsed="false">
      <c r="B103" s="7" t="s">
        <v>209</v>
      </c>
      <c r="C103" s="8"/>
      <c r="D103" s="8"/>
      <c r="E103" s="8"/>
      <c r="F103" s="8"/>
      <c r="G103" s="8"/>
      <c r="H103" s="8"/>
      <c r="I103" s="8"/>
      <c r="J103" s="8"/>
      <c r="K103" s="8"/>
      <c r="L103" s="8"/>
      <c r="M103" s="8"/>
      <c r="N103" s="8"/>
    </row>
    <row r="104" customFormat="false" ht="15" hidden="false" customHeight="false" outlineLevel="0" collapsed="false">
      <c r="B104" s="9" t="s">
        <v>180</v>
      </c>
      <c r="C104" s="24" t="n">
        <f aca="false">Inputs!$C$77*Scenarios!$C$114</f>
        <v>495</v>
      </c>
    </row>
    <row r="105" customFormat="false" ht="15" hidden="false" customHeight="false" outlineLevel="0" collapsed="false">
      <c r="B105" s="9" t="s">
        <v>181</v>
      </c>
      <c r="C105" s="24" t="n">
        <f aca="false">$C$104*Inputs!$C$78/(1-(1+Inputs!$C$78)^(-Inputs!$C$80))</f>
        <v>38.7222255150756</v>
      </c>
    </row>
    <row r="106" customFormat="false" ht="15" hidden="false" customHeight="false" outlineLevel="0" collapsed="false">
      <c r="B106" s="9" t="s">
        <v>182</v>
      </c>
      <c r="C106" s="24" t="n">
        <f aca="false">$C$104*(1+Inputs!$C$78)^(Inputs!$C$81-Inputs!$C$79)-$C$105*((1+Inputs!$C$78)^(Inputs!$C$81-Inputs!$C$79)-1)/Inputs!$C$78</f>
        <v>444.140876065435</v>
      </c>
    </row>
    <row r="107" customFormat="false" ht="15" hidden="false" customHeight="false" outlineLevel="0" collapsed="false">
      <c r="B107" s="9" t="s">
        <v>183</v>
      </c>
      <c r="C107" s="20" t="n">
        <f aca="false">IF(Scenarios!$C$104="renew",1,0)</f>
        <v>0</v>
      </c>
    </row>
    <row r="108" customFormat="false" ht="15" hidden="false" customHeight="false" outlineLevel="0" collapsed="false">
      <c r="B108" s="9" t="s">
        <v>184</v>
      </c>
      <c r="C108" s="20" t="n">
        <f aca="false">IF($C$107=1,Inputs!$C$86,Inputs!$C$87)</f>
        <v>7</v>
      </c>
    </row>
    <row r="109" customFormat="false" ht="15" hidden="false" customHeight="false" outlineLevel="0" collapsed="false">
      <c r="B109" s="9" t="s">
        <v>185</v>
      </c>
      <c r="C109" s="24" t="n">
        <f aca="false">IF($C$107=1,INDEX(Scenarios!$E$132:$O$132,(Inputs!$C$81+1))-INDEX(Scenarios!$E$133:$O$133,(Inputs!$C$81+1)),INDEX(Scenarios!$E$127:$O$127,(Inputs!$C$81+1))+INDEX(Scenarios!$E$129:$O$129,(Inputs!$C$81+1))-INDEX(Scenarios!$E$130:$O$130,(Inputs!$C$81+1))-Inputs!$C$12*INDEX(Scenarios!$E$127:$O$127,(Inputs!$C$81+1))-Inputs!$C$39*(1+Inputs!$C$11)^((Inputs!$C$81+1)-1))</f>
        <v>29.7202049015907</v>
      </c>
    </row>
    <row r="110" customFormat="false" ht="15" hidden="false" customHeight="false" outlineLevel="0" collapsed="false">
      <c r="B110" s="9" t="s">
        <v>186</v>
      </c>
      <c r="C110" s="24" t="n">
        <f aca="false">$C$109/Inputs!$C$84</f>
        <v>21.2287177868505</v>
      </c>
    </row>
    <row r="111" customFormat="false" ht="15" hidden="false" customHeight="false" outlineLevel="0" collapsed="false">
      <c r="B111" s="9" t="s">
        <v>187</v>
      </c>
      <c r="C111" s="24" t="n">
        <f aca="false">$C$110*(1-(1+Inputs!$C$83)^(-$C$108))/Inputs!$C$83</f>
        <v>116.429322431369</v>
      </c>
    </row>
    <row r="112" customFormat="false" ht="15" hidden="false" customHeight="false" outlineLevel="0" collapsed="false">
      <c r="B112" s="9" t="s">
        <v>188</v>
      </c>
      <c r="C112" s="24" t="n">
        <f aca="false">$C$109/Scenarios!$C$139</f>
        <v>495.336748359845</v>
      </c>
    </row>
    <row r="113" customFormat="false" ht="15" hidden="false" customHeight="false" outlineLevel="0" collapsed="false">
      <c r="B113" s="9" t="s">
        <v>189</v>
      </c>
      <c r="C113" s="24" t="n">
        <f aca="false">Inputs!$C$85*$C$112</f>
        <v>272.435211597915</v>
      </c>
    </row>
    <row r="114" customFormat="false" ht="15" hidden="false" customHeight="false" outlineLevel="0" collapsed="false">
      <c r="B114" s="29" t="s">
        <v>190</v>
      </c>
      <c r="C114" s="30" t="n">
        <f aca="false">MIN($C$111,$C$113)</f>
        <v>116.429322431369</v>
      </c>
    </row>
    <row r="115" customFormat="false" ht="15" hidden="false" customHeight="false" outlineLevel="0" collapsed="false">
      <c r="B115" s="29" t="s">
        <v>191</v>
      </c>
      <c r="C115" s="30" t="n">
        <f aca="false">$C$114*(1-Inputs!$C$82)-$C$106</f>
        <v>-328.875846858379</v>
      </c>
    </row>
    <row r="116" customFormat="false" ht="15" hidden="false" customHeight="false" outlineLevel="0" collapsed="false">
      <c r="B116" s="9" t="s">
        <v>192</v>
      </c>
      <c r="C116" s="24" t="n">
        <f aca="false">$C$114*Inputs!$C$83/(1-(1+Inputs!$C$83)^(-$C$108))</f>
        <v>21.2287177868505</v>
      </c>
    </row>
    <row r="118" customFormat="false" ht="15" hidden="false" customHeight="false" outlineLevel="0" collapsed="false">
      <c r="B118" s="25" t="s">
        <v>193</v>
      </c>
      <c r="C118" s="26"/>
      <c r="D118" s="26" t="n">
        <v>0</v>
      </c>
      <c r="E118" s="26" t="n">
        <v>1</v>
      </c>
      <c r="F118" s="26" t="n">
        <v>2</v>
      </c>
      <c r="G118" s="26" t="n">
        <v>3</v>
      </c>
      <c r="H118" s="26" t="n">
        <v>4</v>
      </c>
      <c r="I118" s="26" t="n">
        <v>5</v>
      </c>
      <c r="J118" s="26" t="n">
        <v>6</v>
      </c>
      <c r="K118" s="26" t="n">
        <v>7</v>
      </c>
      <c r="L118" s="26" t="n">
        <v>8</v>
      </c>
      <c r="M118" s="26" t="n">
        <v>9</v>
      </c>
      <c r="N118" s="26" t="n">
        <v>10</v>
      </c>
    </row>
    <row r="119" customFormat="false" ht="15" hidden="false" customHeight="false" outlineLevel="0" collapsed="false">
      <c r="B119" s="9" t="s">
        <v>194</v>
      </c>
      <c r="E119" s="24" t="n">
        <f aca="false">$C$104</f>
        <v>495</v>
      </c>
      <c r="F119" s="24" t="n">
        <f aca="false">IF(F$118=Inputs!$C$81+1,$C$114,E123)</f>
        <v>495</v>
      </c>
      <c r="G119" s="24" t="n">
        <f aca="false">IF(G$118=Inputs!$C$81+1,$C$114,F123)</f>
        <v>495</v>
      </c>
      <c r="H119" s="24" t="n">
        <f aca="false">IF(H$118=Inputs!$C$81+1,$C$114,G123)</f>
        <v>485.977774484924</v>
      </c>
      <c r="I119" s="24" t="n">
        <f aca="false">IF(I$118=Inputs!$C$81+1,$C$114,H123)</f>
        <v>476.414215438944</v>
      </c>
      <c r="J119" s="24" t="n">
        <f aca="false">IF(J$118=Inputs!$C$81+1,$C$114,I123)</f>
        <v>466.276842850205</v>
      </c>
      <c r="K119" s="24" t="n">
        <f aca="false">IF(K$118=Inputs!$C$81+1,$C$114,J123)</f>
        <v>455.531227906142</v>
      </c>
      <c r="L119" s="24" t="n">
        <f aca="false">IF(L$118=Inputs!$C$81+1,$C$114,K123)</f>
        <v>116.429322431369</v>
      </c>
      <c r="M119" s="24" t="n">
        <f aca="false">IF(M$118=Inputs!$C$81+1,$C$114,L123)</f>
        <v>102.768510602558</v>
      </c>
      <c r="N119" s="24" t="n">
        <f aca="false">IF(N$118=Inputs!$C$81+1,$C$114,M123)</f>
        <v>88.2197460048735</v>
      </c>
    </row>
    <row r="120" customFormat="false" ht="15" hidden="false" customHeight="false" outlineLevel="0" collapsed="false">
      <c r="B120" s="9" t="s">
        <v>195</v>
      </c>
      <c r="E120" s="23" t="n">
        <f aca="false">IF(E$118&lt;=Inputs!$C$81,Inputs!$C$78,Inputs!$C$83)</f>
        <v>0.06</v>
      </c>
      <c r="F120" s="23" t="n">
        <f aca="false">IF(F$118&lt;=Inputs!$C$81,Inputs!$C$78,Inputs!$C$83)</f>
        <v>0.06</v>
      </c>
      <c r="G120" s="23" t="n">
        <f aca="false">IF(G$118&lt;=Inputs!$C$81,Inputs!$C$78,Inputs!$C$83)</f>
        <v>0.06</v>
      </c>
      <c r="H120" s="23" t="n">
        <f aca="false">IF(H$118&lt;=Inputs!$C$81,Inputs!$C$78,Inputs!$C$83)</f>
        <v>0.06</v>
      </c>
      <c r="I120" s="23" t="n">
        <f aca="false">IF(I$118&lt;=Inputs!$C$81,Inputs!$C$78,Inputs!$C$83)</f>
        <v>0.06</v>
      </c>
      <c r="J120" s="23" t="n">
        <f aca="false">IF(J$118&lt;=Inputs!$C$81,Inputs!$C$78,Inputs!$C$83)</f>
        <v>0.06</v>
      </c>
      <c r="K120" s="23" t="n">
        <f aca="false">IF(K$118&lt;=Inputs!$C$81,Inputs!$C$78,Inputs!$C$83)</f>
        <v>0.06</v>
      </c>
      <c r="L120" s="23" t="n">
        <f aca="false">IF(L$118&lt;=Inputs!$C$81,Inputs!$C$78,Inputs!$C$83)</f>
        <v>0.065</v>
      </c>
      <c r="M120" s="23" t="n">
        <f aca="false">IF(M$118&lt;=Inputs!$C$81,Inputs!$C$78,Inputs!$C$83)</f>
        <v>0.065</v>
      </c>
      <c r="N120" s="23" t="n">
        <f aca="false">IF(N$118&lt;=Inputs!$C$81,Inputs!$C$78,Inputs!$C$83)</f>
        <v>0.065</v>
      </c>
    </row>
    <row r="121" customFormat="false" ht="15" hidden="false" customHeight="false" outlineLevel="0" collapsed="false">
      <c r="B121" s="9" t="s">
        <v>196</v>
      </c>
      <c r="E121" s="24" t="n">
        <f aca="false">E119*E120</f>
        <v>29.7</v>
      </c>
      <c r="F121" s="24" t="n">
        <f aca="false">F119*F120</f>
        <v>29.7</v>
      </c>
      <c r="G121" s="24" t="n">
        <f aca="false">G119*G120</f>
        <v>29.7</v>
      </c>
      <c r="H121" s="24" t="n">
        <f aca="false">H119*H120</f>
        <v>29.1586664690955</v>
      </c>
      <c r="I121" s="24" t="n">
        <f aca="false">I119*I120</f>
        <v>28.5848529263367</v>
      </c>
      <c r="J121" s="24" t="n">
        <f aca="false">J119*J120</f>
        <v>27.9766105710123</v>
      </c>
      <c r="K121" s="24" t="n">
        <f aca="false">K119*K120</f>
        <v>27.3318736743685</v>
      </c>
      <c r="L121" s="24" t="n">
        <f aca="false">L119*L120</f>
        <v>7.567905958039</v>
      </c>
      <c r="M121" s="24" t="n">
        <f aca="false">M119*M120</f>
        <v>6.67995318916626</v>
      </c>
      <c r="N121" s="24" t="n">
        <f aca="false">N119*N120</f>
        <v>5.73428349031678</v>
      </c>
    </row>
    <row r="122" customFormat="false" ht="15" hidden="false" customHeight="false" outlineLevel="0" collapsed="false">
      <c r="B122" s="9" t="s">
        <v>197</v>
      </c>
      <c r="E122" s="24" t="n">
        <f aca="false">IF(E$118&lt;=Inputs!$C$81,IF(E$118&lt;=Inputs!$C$79,0,$C$105-E121),$C$116-E121)</f>
        <v>0</v>
      </c>
      <c r="F122" s="24" t="n">
        <f aca="false">IF(F$118&lt;=Inputs!$C$81,IF(F$118&lt;=Inputs!$C$79,0,$C$105-F121),$C$116-F121)</f>
        <v>0</v>
      </c>
      <c r="G122" s="24" t="n">
        <f aca="false">IF(G$118&lt;=Inputs!$C$81,IF(G$118&lt;=Inputs!$C$79,0,$C$105-G121),$C$116-G121)</f>
        <v>9.0222255150756</v>
      </c>
      <c r="H122" s="24" t="n">
        <f aca="false">IF(H$118&lt;=Inputs!$C$81,IF(H$118&lt;=Inputs!$C$79,0,$C$105-H121),$C$116-H121)</f>
        <v>9.56355904598014</v>
      </c>
      <c r="I122" s="24" t="n">
        <f aca="false">IF(I$118&lt;=Inputs!$C$81,IF(I$118&lt;=Inputs!$C$79,0,$C$105-I121),$C$116-I121)</f>
        <v>10.1373725887389</v>
      </c>
      <c r="J122" s="24" t="n">
        <f aca="false">IF(J$118&lt;=Inputs!$C$81,IF(J$118&lt;=Inputs!$C$79,0,$C$105-J121),$C$116-J121)</f>
        <v>10.7456149440633</v>
      </c>
      <c r="K122" s="24" t="n">
        <f aca="false">IF(K$118&lt;=Inputs!$C$81,IF(K$118&lt;=Inputs!$C$79,0,$C$105-K121),$C$116-K121)</f>
        <v>11.3903518407071</v>
      </c>
      <c r="L122" s="24" t="n">
        <f aca="false">IF(L$118&lt;=Inputs!$C$81,IF(L$118&lt;=Inputs!$C$79,0,$C$105-L121),$C$116-L121)</f>
        <v>13.6608118288115</v>
      </c>
      <c r="M122" s="24" t="n">
        <f aca="false">IF(M$118&lt;=Inputs!$C$81,IF(M$118&lt;=Inputs!$C$79,0,$C$105-M121),$C$116-M121)</f>
        <v>14.5487645976842</v>
      </c>
      <c r="N122" s="24" t="n">
        <f aca="false">IF(N$118&lt;=Inputs!$C$81,IF(N$118&lt;=Inputs!$C$79,0,$C$105-N121),$C$116-N121)</f>
        <v>15.4944342965337</v>
      </c>
    </row>
    <row r="123" customFormat="false" ht="15" hidden="false" customHeight="false" outlineLevel="0" collapsed="false">
      <c r="B123" s="29" t="s">
        <v>198</v>
      </c>
      <c r="E123" s="30" t="n">
        <f aca="false">E119-E122</f>
        <v>495</v>
      </c>
      <c r="F123" s="30" t="n">
        <f aca="false">F119-F122</f>
        <v>495</v>
      </c>
      <c r="G123" s="30" t="n">
        <f aca="false">G119-G122</f>
        <v>485.977774484924</v>
      </c>
      <c r="H123" s="30" t="n">
        <f aca="false">H119-H122</f>
        <v>476.414215438944</v>
      </c>
      <c r="I123" s="30" t="n">
        <f aca="false">I119-I122</f>
        <v>466.276842850205</v>
      </c>
      <c r="J123" s="30" t="n">
        <f aca="false">J119-J122</f>
        <v>455.531227906142</v>
      </c>
      <c r="K123" s="30" t="n">
        <f aca="false">K119-K122</f>
        <v>444.140876065435</v>
      </c>
      <c r="L123" s="30" t="n">
        <f aca="false">L119-L122</f>
        <v>102.768510602558</v>
      </c>
      <c r="M123" s="30" t="n">
        <f aca="false">M119-M122</f>
        <v>88.2197460048735</v>
      </c>
      <c r="N123" s="30" t="n">
        <f aca="false">N119-N122</f>
        <v>72.7253117083398</v>
      </c>
    </row>
    <row r="124" customFormat="false" ht="15" hidden="false" customHeight="false" outlineLevel="0" collapsed="false">
      <c r="B124" s="9" t="s">
        <v>199</v>
      </c>
      <c r="E124" s="24" t="n">
        <f aca="false">E121+E122</f>
        <v>29.7</v>
      </c>
      <c r="F124" s="24" t="n">
        <f aca="false">F121+F122</f>
        <v>29.7</v>
      </c>
      <c r="G124" s="24" t="n">
        <f aca="false">G121+G122</f>
        <v>38.7222255150756</v>
      </c>
      <c r="H124" s="24" t="n">
        <f aca="false">H121+H122</f>
        <v>38.7222255150756</v>
      </c>
      <c r="I124" s="24" t="n">
        <f aca="false">I121+I122</f>
        <v>38.7222255150756</v>
      </c>
      <c r="J124" s="24" t="n">
        <f aca="false">J121+J122</f>
        <v>38.7222255150756</v>
      </c>
      <c r="K124" s="24" t="n">
        <f aca="false">K121+K122</f>
        <v>38.7222255150756</v>
      </c>
      <c r="L124" s="24" t="n">
        <f aca="false">L121+L122</f>
        <v>21.2287177868505</v>
      </c>
      <c r="M124" s="24" t="n">
        <f aca="false">M121+M122</f>
        <v>21.2287177868505</v>
      </c>
      <c r="N124" s="24" t="n">
        <f aca="false">N121+N122</f>
        <v>21.2287177868505</v>
      </c>
    </row>
    <row r="125" customFormat="false" ht="15" hidden="false" customHeight="false" outlineLevel="0" collapsed="false">
      <c r="B125" s="9" t="s">
        <v>200</v>
      </c>
      <c r="E125" s="22" t="n">
        <f aca="false">(Scenarios!E132-Scenarios!E133)/E124</f>
        <v>1.66612945454545</v>
      </c>
      <c r="F125" s="22" t="n">
        <f aca="false">(Scenarios!F132-Scenarios!F133)/F124</f>
        <v>1.71053046949495</v>
      </c>
      <c r="G125" s="22" t="n">
        <f aca="false">(Scenarios!G132-Scenarios!G133)/G124</f>
        <v>2.04570241088131</v>
      </c>
      <c r="H125" s="22" t="n">
        <f aca="false">(Scenarios!H132-Scenarios!H133)/H124</f>
        <v>2.09424485669414</v>
      </c>
      <c r="I125" s="22" t="n">
        <f aca="false">(Scenarios!I132-Scenarios!I133)/I124</f>
        <v>2.09504872421673</v>
      </c>
      <c r="J125" s="22" t="n">
        <f aca="false">(Scenarios!J132-Scenarios!J133)/J124</f>
        <v>2.13184507369254</v>
      </c>
      <c r="K125" s="22" t="n">
        <f aca="false">(Scenarios!K132-Scenarios!K133)/K124</f>
        <v>2.16924404696173</v>
      </c>
      <c r="L125" s="22" t="n">
        <f aca="false">(Scenarios!L132-Scenarios!L133)/L124</f>
        <v>4.02613994142516</v>
      </c>
      <c r="M125" s="22" t="n">
        <f aca="false">(Scenarios!M132-Scenarios!M133)/M124</f>
        <v>1.2975105389414</v>
      </c>
      <c r="N125" s="22" t="n">
        <f aca="false">(Scenarios!N132-Scenarios!N133)/N124</f>
        <v>1.32053840546515</v>
      </c>
    </row>
    <row r="126" customFormat="false" ht="15" hidden="false" customHeight="false" outlineLevel="0" collapsed="false">
      <c r="B126" s="29" t="s">
        <v>201</v>
      </c>
      <c r="C126" s="32" t="n">
        <f aca="false">MIN(I125:K125)</f>
        <v>2.09504872421673</v>
      </c>
    </row>
    <row r="128" customFormat="false" ht="15" hidden="false" customHeight="false" outlineLevel="0" collapsed="false">
      <c r="B128" s="25" t="s">
        <v>202</v>
      </c>
      <c r="C128" s="26"/>
      <c r="D128" s="26" t="n">
        <v>0</v>
      </c>
      <c r="E128" s="26" t="n">
        <v>1</v>
      </c>
      <c r="F128" s="26" t="n">
        <v>2</v>
      </c>
      <c r="G128" s="26" t="n">
        <v>3</v>
      </c>
      <c r="H128" s="26" t="n">
        <v>4</v>
      </c>
      <c r="I128" s="26" t="n">
        <v>5</v>
      </c>
      <c r="J128" s="26" t="n">
        <v>6</v>
      </c>
      <c r="K128" s="26" t="n">
        <v>7</v>
      </c>
      <c r="L128" s="26" t="n">
        <v>8</v>
      </c>
      <c r="M128" s="26" t="n">
        <v>9</v>
      </c>
      <c r="N128" s="26" t="n">
        <v>10</v>
      </c>
    </row>
    <row r="129" customFormat="false" ht="15" hidden="false" customHeight="false" outlineLevel="0" collapsed="false">
      <c r="B129" s="9" t="s">
        <v>203</v>
      </c>
      <c r="D129" s="24" t="n">
        <f aca="false">$C$104*(1-Inputs!$C$82)</f>
        <v>490.05</v>
      </c>
      <c r="E129" s="24" t="n">
        <f aca="false">-E124+IF(E$118=Inputs!$C$81,$C$115,0)</f>
        <v>-29.7</v>
      </c>
      <c r="F129" s="24" t="n">
        <f aca="false">-F124+IF(F$118=Inputs!$C$81,$C$115,0)</f>
        <v>-29.7</v>
      </c>
      <c r="G129" s="24" t="n">
        <f aca="false">-G124+IF(G$118=Inputs!$C$81,$C$115,0)</f>
        <v>-38.7222255150756</v>
      </c>
      <c r="H129" s="24" t="n">
        <f aca="false">-H124+IF(H$118=Inputs!$C$81,$C$115,0)</f>
        <v>-38.7222255150756</v>
      </c>
      <c r="I129" s="24" t="n">
        <f aca="false">-I124+IF(I$118=Inputs!$C$81,$C$115,0)</f>
        <v>-38.7222255150756</v>
      </c>
      <c r="J129" s="24" t="n">
        <f aca="false">-J124+IF(J$118=Inputs!$C$81,$C$115,0)</f>
        <v>-38.7222255150756</v>
      </c>
      <c r="K129" s="24" t="n">
        <f aca="false">-K124+IF(K$118=Inputs!$C$81,$C$115,0)</f>
        <v>-367.598072373455</v>
      </c>
      <c r="L129" s="24" t="n">
        <f aca="false">-L124+IF(L$118=Inputs!$C$81,$C$115,0)</f>
        <v>-21.2287177868505</v>
      </c>
      <c r="M129" s="24" t="n">
        <f aca="false">-M124+IF(M$118=Inputs!$C$81,$C$115,0)</f>
        <v>-21.2287177868505</v>
      </c>
      <c r="N129" s="24" t="n">
        <f aca="false">-N124+IF(N$118=Inputs!$C$81,$C$115,0)-N123</f>
        <v>-93.9540294951903</v>
      </c>
    </row>
    <row r="130" customFormat="false" ht="15" hidden="false" customHeight="false" outlineLevel="0" collapsed="false">
      <c r="B130" s="29" t="s">
        <v>202</v>
      </c>
      <c r="D130" s="30" t="n">
        <f aca="false">Scenarios!D148+D129</f>
        <v>-427.95</v>
      </c>
      <c r="E130" s="30" t="n">
        <f aca="false">Scenarios!E148+E129</f>
        <v>-64.2159552</v>
      </c>
      <c r="F130" s="30" t="n">
        <f aca="false">Scenarios!F148+F129</f>
        <v>-62.897245056</v>
      </c>
      <c r="G130" s="30" t="n">
        <f aca="false">Scenarios!G148+G129</f>
        <v>40.4919245758044</v>
      </c>
      <c r="H130" s="30" t="n">
        <f aca="false">Scenarios!H148+H129</f>
        <v>42.371596109622</v>
      </c>
      <c r="I130" s="30" t="n">
        <f aca="false">Scenarios!I148+I129</f>
        <v>42.4027236491159</v>
      </c>
      <c r="J130" s="30" t="n">
        <f aca="false">Scenarios!J148+J129</f>
        <v>43.8275601916498</v>
      </c>
      <c r="K130" s="30" t="n">
        <f aca="false">Scenarios!K148+K129</f>
        <v>-283.600115189768</v>
      </c>
      <c r="L130" s="30" t="n">
        <f aca="false">Scenarios!L148+L129</f>
        <v>64.241070800031</v>
      </c>
      <c r="M130" s="30" t="n">
        <f aca="false">Scenarios!M148+M129</f>
        <v>6.31576726980083</v>
      </c>
      <c r="N130" s="30" t="n">
        <f aca="false">Scenarios!N148+N129</f>
        <v>463.568389338765</v>
      </c>
    </row>
    <row r="131" customFormat="false" ht="15" hidden="false" customHeight="false" outlineLevel="0" collapsed="false">
      <c r="B131" s="29" t="s">
        <v>204</v>
      </c>
      <c r="C131" s="31" t="n">
        <f aca="false">IRR(D130:N130,0.08)</f>
        <v>-0.0297906525591303</v>
      </c>
    </row>
    <row r="132" customFormat="false" ht="15" hidden="false" customHeight="false" outlineLevel="0" collapsed="false">
      <c r="B132" s="9" t="s">
        <v>205</v>
      </c>
      <c r="C132" s="33" t="n">
        <f aca="false">SUMIF(D130:N130,"&gt;0")/-SUMIF(D130:N130,"&lt;0")</f>
        <v>0.838499811525694</v>
      </c>
    </row>
    <row r="133" customFormat="false" ht="15" hidden="false" customHeight="false" outlineLevel="0" collapsed="false">
      <c r="B133" s="9" t="s">
        <v>206</v>
      </c>
      <c r="C133" s="24" t="n">
        <f aca="false">-D130</f>
        <v>427.95</v>
      </c>
    </row>
    <row r="136" customFormat="false" ht="15" hidden="false" customHeight="false" outlineLevel="0" collapsed="false">
      <c r="B136" s="7" t="s">
        <v>210</v>
      </c>
      <c r="C136" s="8"/>
      <c r="D136" s="8"/>
      <c r="E136" s="8"/>
      <c r="F136" s="8"/>
      <c r="G136" s="8"/>
      <c r="H136" s="8"/>
      <c r="I136" s="8"/>
      <c r="J136" s="8"/>
      <c r="K136" s="8"/>
      <c r="L136" s="8"/>
      <c r="M136" s="8"/>
      <c r="N136" s="8"/>
    </row>
    <row r="137" customFormat="false" ht="15" hidden="false" customHeight="false" outlineLevel="0" collapsed="false">
      <c r="B137" s="9" t="s">
        <v>180</v>
      </c>
      <c r="C137" s="24" t="n">
        <f aca="false">Inputs!$C$77*Scenarios!$C$163</f>
        <v>495</v>
      </c>
    </row>
    <row r="138" customFormat="false" ht="15" hidden="false" customHeight="false" outlineLevel="0" collapsed="false">
      <c r="B138" s="9" t="s">
        <v>181</v>
      </c>
      <c r="C138" s="24" t="n">
        <f aca="false">$C$137*Inputs!$C$78/(1-(1+Inputs!$C$78)^(-Inputs!$C$80))</f>
        <v>38.7222255150756</v>
      </c>
    </row>
    <row r="139" customFormat="false" ht="15" hidden="false" customHeight="false" outlineLevel="0" collapsed="false">
      <c r="B139" s="9" t="s">
        <v>182</v>
      </c>
      <c r="C139" s="24" t="n">
        <f aca="false">$C$137*(1+Inputs!$C$78)^(Inputs!$C$81-Inputs!$C$79)-$C$138*((1+Inputs!$C$78)^(Inputs!$C$81-Inputs!$C$79)-1)/Inputs!$C$78</f>
        <v>444.140876065435</v>
      </c>
    </row>
    <row r="140" customFormat="false" ht="15" hidden="false" customHeight="false" outlineLevel="0" collapsed="false">
      <c r="B140" s="9" t="s">
        <v>183</v>
      </c>
      <c r="C140" s="20" t="n">
        <f aca="false">IF(Scenarios!$C$153="renew",1,0)</f>
        <v>1</v>
      </c>
    </row>
    <row r="141" customFormat="false" ht="15" hidden="false" customHeight="false" outlineLevel="0" collapsed="false">
      <c r="B141" s="9" t="s">
        <v>184</v>
      </c>
      <c r="C141" s="20" t="n">
        <f aca="false">IF($C$140=1,Inputs!$C$86,Inputs!$C$87)</f>
        <v>20</v>
      </c>
    </row>
    <row r="142" customFormat="false" ht="15" hidden="false" customHeight="false" outlineLevel="0" collapsed="false">
      <c r="B142" s="9" t="s">
        <v>185</v>
      </c>
      <c r="C142" s="24" t="n">
        <f aca="false">IF($C$140=1,INDEX(Scenarios!$E$181:$O$181,(Inputs!$C$81+1))-INDEX(Scenarios!$E$182:$O$182,(Inputs!$C$81+1)),INDEX(Scenarios!$E$176:$O$176,(Inputs!$C$81+1))+INDEX(Scenarios!$E$178:$O$178,(Inputs!$C$81+1))-INDEX(Scenarios!$E$179:$O$179,(Inputs!$C$81+1))-Inputs!$C$12*INDEX(Scenarios!$E$176:$O$176,(Inputs!$C$81+1))-Inputs!$C$39*(1+Inputs!$C$11)^((Inputs!$C$81+1)-1))</f>
        <v>76.4087392032015</v>
      </c>
    </row>
    <row r="143" customFormat="false" ht="15" hidden="false" customHeight="false" outlineLevel="0" collapsed="false">
      <c r="B143" s="9" t="s">
        <v>186</v>
      </c>
      <c r="C143" s="24" t="n">
        <f aca="false">$C$142/Inputs!$C$84</f>
        <v>54.5776708594297</v>
      </c>
    </row>
    <row r="144" customFormat="false" ht="15" hidden="false" customHeight="false" outlineLevel="0" collapsed="false">
      <c r="B144" s="9" t="s">
        <v>187</v>
      </c>
      <c r="C144" s="24" t="n">
        <f aca="false">$C$143*(1-(1+Inputs!$C$83)^(-$C$141))/Inputs!$C$83</f>
        <v>601.364461908806</v>
      </c>
    </row>
    <row r="145" customFormat="false" ht="15" hidden="false" customHeight="false" outlineLevel="0" collapsed="false">
      <c r="B145" s="9" t="s">
        <v>188</v>
      </c>
      <c r="C145" s="24" t="n">
        <f aca="false">$C$142/Scenarios!$C$188</f>
        <v>1222.53982725122</v>
      </c>
    </row>
    <row r="146" customFormat="false" ht="15" hidden="false" customHeight="false" outlineLevel="0" collapsed="false">
      <c r="B146" s="9" t="s">
        <v>189</v>
      </c>
      <c r="C146" s="24" t="n">
        <f aca="false">Inputs!$C$85*$C$145</f>
        <v>672.396904988173</v>
      </c>
    </row>
    <row r="147" customFormat="false" ht="15" hidden="false" customHeight="false" outlineLevel="0" collapsed="false">
      <c r="B147" s="29" t="s">
        <v>190</v>
      </c>
      <c r="C147" s="30" t="n">
        <f aca="false">MIN($C$144,$C$146)</f>
        <v>601.364461908806</v>
      </c>
    </row>
    <row r="148" customFormat="false" ht="15" hidden="false" customHeight="false" outlineLevel="0" collapsed="false">
      <c r="B148" s="29" t="s">
        <v>191</v>
      </c>
      <c r="C148" s="30" t="n">
        <f aca="false">$C$147*(1-Inputs!$C$82)-$C$139</f>
        <v>151.209941224283</v>
      </c>
    </row>
    <row r="149" customFormat="false" ht="15" hidden="false" customHeight="false" outlineLevel="0" collapsed="false">
      <c r="B149" s="9" t="s">
        <v>192</v>
      </c>
      <c r="C149" s="24" t="n">
        <f aca="false">$C$147*Inputs!$C$83/(1-(1+Inputs!$C$83)^(-$C$141))</f>
        <v>54.5776708594297</v>
      </c>
    </row>
    <row r="151" customFormat="false" ht="15" hidden="false" customHeight="false" outlineLevel="0" collapsed="false">
      <c r="B151" s="25" t="s">
        <v>193</v>
      </c>
      <c r="C151" s="26"/>
      <c r="D151" s="26" t="n">
        <v>0</v>
      </c>
      <c r="E151" s="26" t="n">
        <v>1</v>
      </c>
      <c r="F151" s="26" t="n">
        <v>2</v>
      </c>
      <c r="G151" s="26" t="n">
        <v>3</v>
      </c>
      <c r="H151" s="26" t="n">
        <v>4</v>
      </c>
      <c r="I151" s="26" t="n">
        <v>5</v>
      </c>
      <c r="J151" s="26" t="n">
        <v>6</v>
      </c>
      <c r="K151" s="26" t="n">
        <v>7</v>
      </c>
      <c r="L151" s="26" t="n">
        <v>8</v>
      </c>
      <c r="M151" s="26" t="n">
        <v>9</v>
      </c>
      <c r="N151" s="26" t="n">
        <v>10</v>
      </c>
    </row>
    <row r="152" customFormat="false" ht="15" hidden="false" customHeight="false" outlineLevel="0" collapsed="false">
      <c r="B152" s="9" t="s">
        <v>194</v>
      </c>
      <c r="E152" s="24" t="n">
        <f aca="false">$C$137</f>
        <v>495</v>
      </c>
      <c r="F152" s="24" t="n">
        <f aca="false">IF(F$151=Inputs!$C$81+1,$C$147,E156)</f>
        <v>495</v>
      </c>
      <c r="G152" s="24" t="n">
        <f aca="false">IF(G$151=Inputs!$C$81+1,$C$147,F156)</f>
        <v>495</v>
      </c>
      <c r="H152" s="24" t="n">
        <f aca="false">IF(H$151=Inputs!$C$81+1,$C$147,G156)</f>
        <v>485.977774484924</v>
      </c>
      <c r="I152" s="24" t="n">
        <f aca="false">IF(I$151=Inputs!$C$81+1,$C$147,H156)</f>
        <v>476.414215438944</v>
      </c>
      <c r="J152" s="24" t="n">
        <f aca="false">IF(J$151=Inputs!$C$81+1,$C$147,I156)</f>
        <v>466.276842850205</v>
      </c>
      <c r="K152" s="24" t="n">
        <f aca="false">IF(K$151=Inputs!$C$81+1,$C$147,J156)</f>
        <v>455.531227906142</v>
      </c>
      <c r="L152" s="24" t="n">
        <f aca="false">IF(L$151=Inputs!$C$81+1,$C$147,K156)</f>
        <v>601.364461908806</v>
      </c>
      <c r="M152" s="24" t="n">
        <f aca="false">IF(M$151=Inputs!$C$81+1,$C$147,L156)</f>
        <v>585.875481073448</v>
      </c>
      <c r="N152" s="24" t="n">
        <f aca="false">IF(N$151=Inputs!$C$81+1,$C$147,M156)</f>
        <v>569.379716483793</v>
      </c>
    </row>
    <row r="153" customFormat="false" ht="15" hidden="false" customHeight="false" outlineLevel="0" collapsed="false">
      <c r="B153" s="9" t="s">
        <v>195</v>
      </c>
      <c r="E153" s="23" t="n">
        <f aca="false">IF(E$151&lt;=Inputs!$C$81,Inputs!$C$78,Inputs!$C$83)</f>
        <v>0.06</v>
      </c>
      <c r="F153" s="23" t="n">
        <f aca="false">IF(F$151&lt;=Inputs!$C$81,Inputs!$C$78,Inputs!$C$83)</f>
        <v>0.06</v>
      </c>
      <c r="G153" s="23" t="n">
        <f aca="false">IF(G$151&lt;=Inputs!$C$81,Inputs!$C$78,Inputs!$C$83)</f>
        <v>0.06</v>
      </c>
      <c r="H153" s="23" t="n">
        <f aca="false">IF(H$151&lt;=Inputs!$C$81,Inputs!$C$78,Inputs!$C$83)</f>
        <v>0.06</v>
      </c>
      <c r="I153" s="23" t="n">
        <f aca="false">IF(I$151&lt;=Inputs!$C$81,Inputs!$C$78,Inputs!$C$83)</f>
        <v>0.06</v>
      </c>
      <c r="J153" s="23" t="n">
        <f aca="false">IF(J$151&lt;=Inputs!$C$81,Inputs!$C$78,Inputs!$C$83)</f>
        <v>0.06</v>
      </c>
      <c r="K153" s="23" t="n">
        <f aca="false">IF(K$151&lt;=Inputs!$C$81,Inputs!$C$78,Inputs!$C$83)</f>
        <v>0.06</v>
      </c>
      <c r="L153" s="23" t="n">
        <f aca="false">IF(L$151&lt;=Inputs!$C$81,Inputs!$C$78,Inputs!$C$83)</f>
        <v>0.065</v>
      </c>
      <c r="M153" s="23" t="n">
        <f aca="false">IF(M$151&lt;=Inputs!$C$81,Inputs!$C$78,Inputs!$C$83)</f>
        <v>0.065</v>
      </c>
      <c r="N153" s="23" t="n">
        <f aca="false">IF(N$151&lt;=Inputs!$C$81,Inputs!$C$78,Inputs!$C$83)</f>
        <v>0.065</v>
      </c>
    </row>
    <row r="154" customFormat="false" ht="15" hidden="false" customHeight="false" outlineLevel="0" collapsed="false">
      <c r="B154" s="9" t="s">
        <v>196</v>
      </c>
      <c r="E154" s="24" t="n">
        <f aca="false">E152*E153</f>
        <v>29.7</v>
      </c>
      <c r="F154" s="24" t="n">
        <f aca="false">F152*F153</f>
        <v>29.7</v>
      </c>
      <c r="G154" s="24" t="n">
        <f aca="false">G152*G153</f>
        <v>29.7</v>
      </c>
      <c r="H154" s="24" t="n">
        <f aca="false">H152*H153</f>
        <v>29.1586664690955</v>
      </c>
      <c r="I154" s="24" t="n">
        <f aca="false">I152*I153</f>
        <v>28.5848529263367</v>
      </c>
      <c r="J154" s="24" t="n">
        <f aca="false">J152*J153</f>
        <v>27.9766105710123</v>
      </c>
      <c r="K154" s="24" t="n">
        <f aca="false">K152*K153</f>
        <v>27.3318736743685</v>
      </c>
      <c r="L154" s="24" t="n">
        <f aca="false">L152*L153</f>
        <v>39.0886900240724</v>
      </c>
      <c r="M154" s="24" t="n">
        <f aca="false">M152*M153</f>
        <v>38.0819062697741</v>
      </c>
      <c r="N154" s="24" t="n">
        <f aca="false">N152*N153</f>
        <v>37.0096815714465</v>
      </c>
    </row>
    <row r="155" customFormat="false" ht="15" hidden="false" customHeight="false" outlineLevel="0" collapsed="false">
      <c r="B155" s="9" t="s">
        <v>197</v>
      </c>
      <c r="E155" s="24" t="n">
        <f aca="false">IF(E$151&lt;=Inputs!$C$81,IF(E$151&lt;=Inputs!$C$79,0,$C$138-E154),$C$149-E154)</f>
        <v>0</v>
      </c>
      <c r="F155" s="24" t="n">
        <f aca="false">IF(F$151&lt;=Inputs!$C$81,IF(F$151&lt;=Inputs!$C$79,0,$C$138-F154),$C$149-F154)</f>
        <v>0</v>
      </c>
      <c r="G155" s="24" t="n">
        <f aca="false">IF(G$151&lt;=Inputs!$C$81,IF(G$151&lt;=Inputs!$C$79,0,$C$138-G154),$C$149-G154)</f>
        <v>9.0222255150756</v>
      </c>
      <c r="H155" s="24" t="n">
        <f aca="false">IF(H$151&lt;=Inputs!$C$81,IF(H$151&lt;=Inputs!$C$79,0,$C$138-H154),$C$149-H154)</f>
        <v>9.56355904598014</v>
      </c>
      <c r="I155" s="24" t="n">
        <f aca="false">IF(I$151&lt;=Inputs!$C$81,IF(I$151&lt;=Inputs!$C$79,0,$C$138-I154),$C$149-I154)</f>
        <v>10.1373725887389</v>
      </c>
      <c r="J155" s="24" t="n">
        <f aca="false">IF(J$151&lt;=Inputs!$C$81,IF(J$151&lt;=Inputs!$C$79,0,$C$138-J154),$C$149-J154)</f>
        <v>10.7456149440633</v>
      </c>
      <c r="K155" s="24" t="n">
        <f aca="false">IF(K$151&lt;=Inputs!$C$81,IF(K$151&lt;=Inputs!$C$79,0,$C$138-K154),$C$149-K154)</f>
        <v>11.3903518407071</v>
      </c>
      <c r="L155" s="24" t="n">
        <f aca="false">IF(L$151&lt;=Inputs!$C$81,IF(L$151&lt;=Inputs!$C$79,0,$C$138-L154),$C$149-L154)</f>
        <v>15.4889808353573</v>
      </c>
      <c r="M155" s="24" t="n">
        <f aca="false">IF(M$151&lt;=Inputs!$C$81,IF(M$151&lt;=Inputs!$C$79,0,$C$138-M154),$C$149-M154)</f>
        <v>16.4957645896555</v>
      </c>
      <c r="N155" s="24" t="n">
        <f aca="false">IF(N$151&lt;=Inputs!$C$81,IF(N$151&lt;=Inputs!$C$79,0,$C$138-N154),$C$149-N154)</f>
        <v>17.5679892879831</v>
      </c>
    </row>
    <row r="156" customFormat="false" ht="15" hidden="false" customHeight="false" outlineLevel="0" collapsed="false">
      <c r="B156" s="29" t="s">
        <v>198</v>
      </c>
      <c r="E156" s="30" t="n">
        <f aca="false">E152-E155</f>
        <v>495</v>
      </c>
      <c r="F156" s="30" t="n">
        <f aca="false">F152-F155</f>
        <v>495</v>
      </c>
      <c r="G156" s="30" t="n">
        <f aca="false">G152-G155</f>
        <v>485.977774484924</v>
      </c>
      <c r="H156" s="30" t="n">
        <f aca="false">H152-H155</f>
        <v>476.414215438944</v>
      </c>
      <c r="I156" s="30" t="n">
        <f aca="false">I152-I155</f>
        <v>466.276842850205</v>
      </c>
      <c r="J156" s="30" t="n">
        <f aca="false">J152-J155</f>
        <v>455.531227906142</v>
      </c>
      <c r="K156" s="30" t="n">
        <f aca="false">K152-K155</f>
        <v>444.140876065435</v>
      </c>
      <c r="L156" s="30" t="n">
        <f aca="false">L152-L155</f>
        <v>585.875481073448</v>
      </c>
      <c r="M156" s="30" t="n">
        <f aca="false">M152-M155</f>
        <v>569.379716483793</v>
      </c>
      <c r="N156" s="30" t="n">
        <f aca="false">N152-N155</f>
        <v>551.81172719581</v>
      </c>
    </row>
    <row r="157" customFormat="false" ht="15" hidden="false" customHeight="false" outlineLevel="0" collapsed="false">
      <c r="B157" s="9" t="s">
        <v>199</v>
      </c>
      <c r="E157" s="24" t="n">
        <f aca="false">E154+E155</f>
        <v>29.7</v>
      </c>
      <c r="F157" s="24" t="n">
        <f aca="false">F154+F155</f>
        <v>29.7</v>
      </c>
      <c r="G157" s="24" t="n">
        <f aca="false">G154+G155</f>
        <v>38.7222255150756</v>
      </c>
      <c r="H157" s="24" t="n">
        <f aca="false">H154+H155</f>
        <v>38.7222255150756</v>
      </c>
      <c r="I157" s="24" t="n">
        <f aca="false">I154+I155</f>
        <v>38.7222255150756</v>
      </c>
      <c r="J157" s="24" t="n">
        <f aca="false">J154+J155</f>
        <v>38.7222255150756</v>
      </c>
      <c r="K157" s="24" t="n">
        <f aca="false">K154+K155</f>
        <v>38.7222255150756</v>
      </c>
      <c r="L157" s="24" t="n">
        <f aca="false">L154+L155</f>
        <v>54.5776708594297</v>
      </c>
      <c r="M157" s="24" t="n">
        <f aca="false">M154+M155</f>
        <v>54.5776708594297</v>
      </c>
      <c r="N157" s="24" t="n">
        <f aca="false">N154+N155</f>
        <v>54.5776708594297</v>
      </c>
    </row>
    <row r="158" customFormat="false" ht="15" hidden="false" customHeight="false" outlineLevel="0" collapsed="false">
      <c r="B158" s="9" t="s">
        <v>200</v>
      </c>
      <c r="E158" s="22" t="n">
        <f aca="false">(Scenarios!E181-Scenarios!E182)/E157</f>
        <v>1.66612945454545</v>
      </c>
      <c r="F158" s="22" t="n">
        <f aca="false">(Scenarios!F181-Scenarios!F182)/F157</f>
        <v>1.71053046949495</v>
      </c>
      <c r="G158" s="22" t="n">
        <f aca="false">(Scenarios!G181-Scenarios!G182)/G157</f>
        <v>2.04570241088131</v>
      </c>
      <c r="H158" s="22" t="n">
        <f aca="false">(Scenarios!H181-Scenarios!H182)/H157</f>
        <v>2.09424485669414</v>
      </c>
      <c r="I158" s="22" t="n">
        <f aca="false">(Scenarios!I181-Scenarios!I182)/I157</f>
        <v>1.87775529626734</v>
      </c>
      <c r="J158" s="22" t="n">
        <f aca="false">(Scenarios!J181-Scenarios!J182)/J157</f>
        <v>1.90911931004442</v>
      </c>
      <c r="K158" s="22" t="n">
        <f aca="false">(Scenarios!K181-Scenarios!K182)/K157</f>
        <v>1.94095013922241</v>
      </c>
      <c r="L158" s="22" t="n">
        <f aca="false">(Scenarios!L181-Scenarios!L182)/L157</f>
        <v>1.4</v>
      </c>
      <c r="M158" s="22" t="n">
        <f aca="false">(Scenarios!M181-Scenarios!M182)/M157</f>
        <v>1.29075752099532</v>
      </c>
      <c r="N158" s="22" t="n">
        <f aca="false">(Scenarios!N181-Scenarios!N182)/N157</f>
        <v>1.3117059641842</v>
      </c>
    </row>
    <row r="159" customFormat="false" ht="15" hidden="false" customHeight="false" outlineLevel="0" collapsed="false">
      <c r="B159" s="29" t="s">
        <v>201</v>
      </c>
      <c r="C159" s="32" t="n">
        <f aca="false">MIN(I158:K158)</f>
        <v>1.87775529626734</v>
      </c>
    </row>
    <row r="161" customFormat="false" ht="15" hidden="false" customHeight="false" outlineLevel="0" collapsed="false">
      <c r="B161" s="25" t="s">
        <v>202</v>
      </c>
      <c r="C161" s="26"/>
      <c r="D161" s="26" t="n">
        <v>0</v>
      </c>
      <c r="E161" s="26" t="n">
        <v>1</v>
      </c>
      <c r="F161" s="26" t="n">
        <v>2</v>
      </c>
      <c r="G161" s="26" t="n">
        <v>3</v>
      </c>
      <c r="H161" s="26" t="n">
        <v>4</v>
      </c>
      <c r="I161" s="26" t="n">
        <v>5</v>
      </c>
      <c r="J161" s="26" t="n">
        <v>6</v>
      </c>
      <c r="K161" s="26" t="n">
        <v>7</v>
      </c>
      <c r="L161" s="26" t="n">
        <v>8</v>
      </c>
      <c r="M161" s="26" t="n">
        <v>9</v>
      </c>
      <c r="N161" s="26" t="n">
        <v>10</v>
      </c>
    </row>
    <row r="162" customFormat="false" ht="15" hidden="false" customHeight="false" outlineLevel="0" collapsed="false">
      <c r="B162" s="9" t="s">
        <v>203</v>
      </c>
      <c r="D162" s="24" t="n">
        <f aca="false">$C$137*(1-Inputs!$C$82)</f>
        <v>490.05</v>
      </c>
      <c r="E162" s="24" t="n">
        <f aca="false">-E157+IF(E$151=Inputs!$C$81,$C$148,0)</f>
        <v>-29.7</v>
      </c>
      <c r="F162" s="24" t="n">
        <f aca="false">-F157+IF(F$151=Inputs!$C$81,$C$148,0)</f>
        <v>-29.7</v>
      </c>
      <c r="G162" s="24" t="n">
        <f aca="false">-G157+IF(G$151=Inputs!$C$81,$C$148,0)</f>
        <v>-38.7222255150756</v>
      </c>
      <c r="H162" s="24" t="n">
        <f aca="false">-H157+IF(H$151=Inputs!$C$81,$C$148,0)</f>
        <v>-38.7222255150756</v>
      </c>
      <c r="I162" s="24" t="n">
        <f aca="false">-I157+IF(I$151=Inputs!$C$81,$C$148,0)</f>
        <v>-38.7222255150756</v>
      </c>
      <c r="J162" s="24" t="n">
        <f aca="false">-J157+IF(J$151=Inputs!$C$81,$C$148,0)</f>
        <v>-38.7222255150756</v>
      </c>
      <c r="K162" s="24" t="n">
        <f aca="false">-K157+IF(K$151=Inputs!$C$81,$C$148,0)</f>
        <v>112.487715709207</v>
      </c>
      <c r="L162" s="24" t="n">
        <f aca="false">-L157+IF(L$151=Inputs!$C$81,$C$148,0)</f>
        <v>-54.5776708594297</v>
      </c>
      <c r="M162" s="24" t="n">
        <f aca="false">-M157+IF(M$151=Inputs!$C$81,$C$148,0)</f>
        <v>-54.5776708594297</v>
      </c>
      <c r="N162" s="24" t="n">
        <f aca="false">-N157+IF(N$151=Inputs!$C$81,$C$148,0)-N156</f>
        <v>-606.389398055239</v>
      </c>
    </row>
    <row r="163" customFormat="false" ht="15" hidden="false" customHeight="false" outlineLevel="0" collapsed="false">
      <c r="B163" s="29" t="s">
        <v>202</v>
      </c>
      <c r="D163" s="30" t="n">
        <f aca="false">Scenarios!D197+D162</f>
        <v>-427.95</v>
      </c>
      <c r="E163" s="30" t="n">
        <f aca="false">Scenarios!E197+E162</f>
        <v>-64.2159552</v>
      </c>
      <c r="F163" s="30" t="n">
        <f aca="false">Scenarios!F197+F162</f>
        <v>-62.897245056</v>
      </c>
      <c r="G163" s="30" t="n">
        <f aca="false">Scenarios!G197+G162</f>
        <v>40.4919245758044</v>
      </c>
      <c r="H163" s="30" t="n">
        <f aca="false">Scenarios!H197+H162</f>
        <v>42.371596109622</v>
      </c>
      <c r="I163" s="30" t="n">
        <f aca="false">Scenarios!I197+I162</f>
        <v>33.9886385291159</v>
      </c>
      <c r="J163" s="30" t="n">
        <f aca="false">Scenarios!J197+J162</f>
        <v>35.2031229436498</v>
      </c>
      <c r="K163" s="30" t="n">
        <f aca="false">Scenarios!K197+K162</f>
        <v>187.645624713694</v>
      </c>
      <c r="L163" s="30" t="n">
        <f aca="false">Scenarios!L197+L162</f>
        <v>21.8310683437719</v>
      </c>
      <c r="M163" s="30" t="n">
        <f aca="false">Scenarios!M197+M162</f>
        <v>3.06886828078621</v>
      </c>
      <c r="N163" s="30" t="n">
        <f aca="false">Scenarios!N197+N162</f>
        <v>649.850910435874</v>
      </c>
    </row>
    <row r="164" customFormat="false" ht="15" hidden="false" customHeight="false" outlineLevel="0" collapsed="false">
      <c r="B164" s="29" t="s">
        <v>204</v>
      </c>
      <c r="C164" s="31" t="n">
        <f aca="false">IRR(D163:N163,0.08)</f>
        <v>0.0777279567262864</v>
      </c>
    </row>
    <row r="165" customFormat="false" ht="15" hidden="false" customHeight="false" outlineLevel="0" collapsed="false">
      <c r="B165" s="9" t="s">
        <v>205</v>
      </c>
      <c r="C165" s="33" t="n">
        <f aca="false">SUMIF(D163:N163,"&gt;0")/-SUMIF(D163:N163,"&lt;0")</f>
        <v>1.82763287759744</v>
      </c>
    </row>
    <row r="166" customFormat="false" ht="15" hidden="false" customHeight="false" outlineLevel="0" collapsed="false">
      <c r="B166" s="9" t="s">
        <v>206</v>
      </c>
      <c r="C166" s="24" t="n">
        <f aca="false">-D163</f>
        <v>427.95</v>
      </c>
    </row>
    <row r="169" customFormat="false" ht="15" hidden="false" customHeight="false" outlineLevel="0" collapsed="false">
      <c r="B169" s="7" t="s">
        <v>211</v>
      </c>
      <c r="C169" s="8"/>
      <c r="D169" s="8"/>
      <c r="E169" s="8"/>
      <c r="F169" s="8"/>
      <c r="G169" s="8"/>
      <c r="H169" s="8"/>
      <c r="I169" s="8"/>
      <c r="J169" s="8"/>
      <c r="K169" s="8"/>
      <c r="L169" s="8"/>
      <c r="M169" s="8"/>
      <c r="N169" s="8"/>
    </row>
    <row r="170" customFormat="false" ht="15" hidden="false" customHeight="false" outlineLevel="0" collapsed="false">
      <c r="B170" s="9" t="s">
        <v>180</v>
      </c>
      <c r="C170" s="24" t="n">
        <f aca="false">Inputs!$C$77*Scenarios!$C$212</f>
        <v>495</v>
      </c>
    </row>
    <row r="171" customFormat="false" ht="15" hidden="false" customHeight="false" outlineLevel="0" collapsed="false">
      <c r="B171" s="9" t="s">
        <v>181</v>
      </c>
      <c r="C171" s="24" t="n">
        <f aca="false">$C$170*Inputs!$C$78/(1-(1+Inputs!$C$78)^(-Inputs!$C$80))</f>
        <v>38.7222255150756</v>
      </c>
    </row>
    <row r="172" customFormat="false" ht="15" hidden="false" customHeight="false" outlineLevel="0" collapsed="false">
      <c r="B172" s="9" t="s">
        <v>182</v>
      </c>
      <c r="C172" s="24" t="n">
        <f aca="false">$C$170*(1+Inputs!$C$78)^(Inputs!$C$81-Inputs!$C$79)-$C$171*((1+Inputs!$C$78)^(Inputs!$C$81-Inputs!$C$79)-1)/Inputs!$C$78</f>
        <v>444.140876065435</v>
      </c>
    </row>
    <row r="173" customFormat="false" ht="15" hidden="false" customHeight="false" outlineLevel="0" collapsed="false">
      <c r="B173" s="9" t="s">
        <v>183</v>
      </c>
      <c r="C173" s="20" t="n">
        <f aca="false">IF(Scenarios!$C$202="renew",1,0)</f>
        <v>1</v>
      </c>
    </row>
    <row r="174" customFormat="false" ht="15" hidden="false" customHeight="false" outlineLevel="0" collapsed="false">
      <c r="B174" s="9" t="s">
        <v>184</v>
      </c>
      <c r="C174" s="20" t="n">
        <f aca="false">IF($C$173=1,Inputs!$C$86,Inputs!$C$87)</f>
        <v>20</v>
      </c>
    </row>
    <row r="175" customFormat="false" ht="15" hidden="false" customHeight="false" outlineLevel="0" collapsed="false">
      <c r="B175" s="9" t="s">
        <v>185</v>
      </c>
      <c r="C175" s="24" t="n">
        <f aca="false">IF($C$173=1,INDEX(Scenarios!$E$230:$O$230,(Inputs!$C$81+1))-INDEX(Scenarios!$E$231:$O$231,(Inputs!$C$81+1)),INDEX(Scenarios!$E$225:$O$225,(Inputs!$C$81+1))+INDEX(Scenarios!$E$227:$O$227,(Inputs!$C$81+1))-INDEX(Scenarios!$E$228:$O$228,(Inputs!$C$81+1))-Inputs!$C$12*INDEX(Scenarios!$E$225:$O$225,(Inputs!$C$81+1))-Inputs!$C$39*(1+Inputs!$C$11)^((Inputs!$C$81+1)-1))</f>
        <v>84.8443125237642</v>
      </c>
    </row>
    <row r="176" customFormat="false" ht="15" hidden="false" customHeight="false" outlineLevel="0" collapsed="false">
      <c r="B176" s="9" t="s">
        <v>186</v>
      </c>
      <c r="C176" s="24" t="n">
        <f aca="false">$C$175/Inputs!$C$84</f>
        <v>60.6030803741173</v>
      </c>
    </row>
    <row r="177" customFormat="false" ht="15" hidden="false" customHeight="false" outlineLevel="0" collapsed="false">
      <c r="B177" s="9" t="s">
        <v>187</v>
      </c>
      <c r="C177" s="24" t="n">
        <f aca="false">$C$176*(1-(1+Inputs!$C$83)^(-$C$174))/Inputs!$C$83</f>
        <v>667.75548031472</v>
      </c>
    </row>
    <row r="178" customFormat="false" ht="15" hidden="false" customHeight="false" outlineLevel="0" collapsed="false">
      <c r="B178" s="9" t="s">
        <v>188</v>
      </c>
      <c r="C178" s="24" t="n">
        <f aca="false">$C$175/Scenarios!$C$237</f>
        <v>1357.50900038023</v>
      </c>
    </row>
    <row r="179" customFormat="false" ht="15" hidden="false" customHeight="false" outlineLevel="0" collapsed="false">
      <c r="B179" s="9" t="s">
        <v>189</v>
      </c>
      <c r="C179" s="24" t="n">
        <f aca="false">Inputs!$C$85*$C$178</f>
        <v>746.629950209125</v>
      </c>
    </row>
    <row r="180" customFormat="false" ht="15" hidden="false" customHeight="false" outlineLevel="0" collapsed="false">
      <c r="B180" s="29" t="s">
        <v>190</v>
      </c>
      <c r="C180" s="30" t="n">
        <f aca="false">MIN($C$177,$C$179)</f>
        <v>667.75548031472</v>
      </c>
    </row>
    <row r="181" customFormat="false" ht="15" hidden="false" customHeight="false" outlineLevel="0" collapsed="false">
      <c r="B181" s="29" t="s">
        <v>191</v>
      </c>
      <c r="C181" s="30" t="n">
        <f aca="false">$C$180*(1-Inputs!$C$82)-$C$172</f>
        <v>216.937049446137</v>
      </c>
    </row>
    <row r="182" customFormat="false" ht="15" hidden="false" customHeight="false" outlineLevel="0" collapsed="false">
      <c r="B182" s="9" t="s">
        <v>192</v>
      </c>
      <c r="C182" s="24" t="n">
        <f aca="false">$C$180*Inputs!$C$83/(1-(1+Inputs!$C$83)^(-$C$174))</f>
        <v>60.6030803741173</v>
      </c>
    </row>
    <row r="184" customFormat="false" ht="15" hidden="false" customHeight="false" outlineLevel="0" collapsed="false">
      <c r="B184" s="25" t="s">
        <v>193</v>
      </c>
      <c r="C184" s="26"/>
      <c r="D184" s="26" t="n">
        <v>0</v>
      </c>
      <c r="E184" s="26" t="n">
        <v>1</v>
      </c>
      <c r="F184" s="26" t="n">
        <v>2</v>
      </c>
      <c r="G184" s="26" t="n">
        <v>3</v>
      </c>
      <c r="H184" s="26" t="n">
        <v>4</v>
      </c>
      <c r="I184" s="26" t="n">
        <v>5</v>
      </c>
      <c r="J184" s="26" t="n">
        <v>6</v>
      </c>
      <c r="K184" s="26" t="n">
        <v>7</v>
      </c>
      <c r="L184" s="26" t="n">
        <v>8</v>
      </c>
      <c r="M184" s="26" t="n">
        <v>9</v>
      </c>
      <c r="N184" s="26" t="n">
        <v>10</v>
      </c>
    </row>
    <row r="185" customFormat="false" ht="15" hidden="false" customHeight="false" outlineLevel="0" collapsed="false">
      <c r="B185" s="9" t="s">
        <v>194</v>
      </c>
      <c r="E185" s="24" t="n">
        <f aca="false">$C$170</f>
        <v>495</v>
      </c>
      <c r="F185" s="24" t="n">
        <f aca="false">IF(F$184=Inputs!$C$81+1,$C$180,E189)</f>
        <v>495</v>
      </c>
      <c r="G185" s="24" t="n">
        <f aca="false">IF(G$184=Inputs!$C$81+1,$C$180,F189)</f>
        <v>495</v>
      </c>
      <c r="H185" s="24" t="n">
        <f aca="false">IF(H$184=Inputs!$C$81+1,$C$180,G189)</f>
        <v>485.977774484924</v>
      </c>
      <c r="I185" s="24" t="n">
        <f aca="false">IF(I$184=Inputs!$C$81+1,$C$180,H189)</f>
        <v>476.414215438944</v>
      </c>
      <c r="J185" s="24" t="n">
        <f aca="false">IF(J$184=Inputs!$C$81+1,$C$180,I189)</f>
        <v>466.276842850205</v>
      </c>
      <c r="K185" s="24" t="n">
        <f aca="false">IF(K$184=Inputs!$C$81+1,$C$180,J189)</f>
        <v>455.531227906142</v>
      </c>
      <c r="L185" s="24" t="n">
        <f aca="false">IF(L$184=Inputs!$C$81+1,$C$180,K189)</f>
        <v>667.75548031472</v>
      </c>
      <c r="M185" s="24" t="n">
        <f aca="false">IF(M$184=Inputs!$C$81+1,$C$180,L189)</f>
        <v>650.556506161059</v>
      </c>
      <c r="N185" s="24" t="n">
        <f aca="false">IF(N$184=Inputs!$C$81+1,$C$180,M189)</f>
        <v>632.239598687411</v>
      </c>
    </row>
    <row r="186" customFormat="false" ht="15" hidden="false" customHeight="false" outlineLevel="0" collapsed="false">
      <c r="B186" s="9" t="s">
        <v>195</v>
      </c>
      <c r="E186" s="23" t="n">
        <f aca="false">IF(E$184&lt;=Inputs!$C$81,Inputs!$C$78,Inputs!$C$83)</f>
        <v>0.06</v>
      </c>
      <c r="F186" s="23" t="n">
        <f aca="false">IF(F$184&lt;=Inputs!$C$81,Inputs!$C$78,Inputs!$C$83)</f>
        <v>0.06</v>
      </c>
      <c r="G186" s="23" t="n">
        <f aca="false">IF(G$184&lt;=Inputs!$C$81,Inputs!$C$78,Inputs!$C$83)</f>
        <v>0.06</v>
      </c>
      <c r="H186" s="23" t="n">
        <f aca="false">IF(H$184&lt;=Inputs!$C$81,Inputs!$C$78,Inputs!$C$83)</f>
        <v>0.06</v>
      </c>
      <c r="I186" s="23" t="n">
        <f aca="false">IF(I$184&lt;=Inputs!$C$81,Inputs!$C$78,Inputs!$C$83)</f>
        <v>0.06</v>
      </c>
      <c r="J186" s="23" t="n">
        <f aca="false">IF(J$184&lt;=Inputs!$C$81,Inputs!$C$78,Inputs!$C$83)</f>
        <v>0.06</v>
      </c>
      <c r="K186" s="23" t="n">
        <f aca="false">IF(K$184&lt;=Inputs!$C$81,Inputs!$C$78,Inputs!$C$83)</f>
        <v>0.06</v>
      </c>
      <c r="L186" s="23" t="n">
        <f aca="false">IF(L$184&lt;=Inputs!$C$81,Inputs!$C$78,Inputs!$C$83)</f>
        <v>0.065</v>
      </c>
      <c r="M186" s="23" t="n">
        <f aca="false">IF(M$184&lt;=Inputs!$C$81,Inputs!$C$78,Inputs!$C$83)</f>
        <v>0.065</v>
      </c>
      <c r="N186" s="23" t="n">
        <f aca="false">IF(N$184&lt;=Inputs!$C$81,Inputs!$C$78,Inputs!$C$83)</f>
        <v>0.065</v>
      </c>
    </row>
    <row r="187" customFormat="false" ht="15" hidden="false" customHeight="false" outlineLevel="0" collapsed="false">
      <c r="B187" s="9" t="s">
        <v>196</v>
      </c>
      <c r="E187" s="24" t="n">
        <f aca="false">E185*E186</f>
        <v>29.7</v>
      </c>
      <c r="F187" s="24" t="n">
        <f aca="false">F185*F186</f>
        <v>29.7</v>
      </c>
      <c r="G187" s="24" t="n">
        <f aca="false">G185*G186</f>
        <v>29.7</v>
      </c>
      <c r="H187" s="24" t="n">
        <f aca="false">H185*H186</f>
        <v>29.1586664690955</v>
      </c>
      <c r="I187" s="24" t="n">
        <f aca="false">I185*I186</f>
        <v>28.5848529263367</v>
      </c>
      <c r="J187" s="24" t="n">
        <f aca="false">J185*J186</f>
        <v>27.9766105710123</v>
      </c>
      <c r="K187" s="24" t="n">
        <f aca="false">K185*K186</f>
        <v>27.3318736743685</v>
      </c>
      <c r="L187" s="24" t="n">
        <f aca="false">L185*L186</f>
        <v>43.4041062204568</v>
      </c>
      <c r="M187" s="24" t="n">
        <f aca="false">M185*M186</f>
        <v>42.2861729004689</v>
      </c>
      <c r="N187" s="24" t="n">
        <f aca="false">N185*N186</f>
        <v>41.0955739146817</v>
      </c>
    </row>
    <row r="188" customFormat="false" ht="15" hidden="false" customHeight="false" outlineLevel="0" collapsed="false">
      <c r="B188" s="9" t="s">
        <v>197</v>
      </c>
      <c r="E188" s="24" t="n">
        <f aca="false">IF(E$184&lt;=Inputs!$C$81,IF(E$184&lt;=Inputs!$C$79,0,$C$171-E187),$C$182-E187)</f>
        <v>0</v>
      </c>
      <c r="F188" s="24" t="n">
        <f aca="false">IF(F$184&lt;=Inputs!$C$81,IF(F$184&lt;=Inputs!$C$79,0,$C$171-F187),$C$182-F187)</f>
        <v>0</v>
      </c>
      <c r="G188" s="24" t="n">
        <f aca="false">IF(G$184&lt;=Inputs!$C$81,IF(G$184&lt;=Inputs!$C$79,0,$C$171-G187),$C$182-G187)</f>
        <v>9.0222255150756</v>
      </c>
      <c r="H188" s="24" t="n">
        <f aca="false">IF(H$184&lt;=Inputs!$C$81,IF(H$184&lt;=Inputs!$C$79,0,$C$171-H187),$C$182-H187)</f>
        <v>9.56355904598014</v>
      </c>
      <c r="I188" s="24" t="n">
        <f aca="false">IF(I$184&lt;=Inputs!$C$81,IF(I$184&lt;=Inputs!$C$79,0,$C$171-I187),$C$182-I187)</f>
        <v>10.1373725887389</v>
      </c>
      <c r="J188" s="24" t="n">
        <f aca="false">IF(J$184&lt;=Inputs!$C$81,IF(J$184&lt;=Inputs!$C$79,0,$C$171-J187),$C$182-J187)</f>
        <v>10.7456149440633</v>
      </c>
      <c r="K188" s="24" t="n">
        <f aca="false">IF(K$184&lt;=Inputs!$C$81,IF(K$184&lt;=Inputs!$C$79,0,$C$171-K187),$C$182-K187)</f>
        <v>11.3903518407071</v>
      </c>
      <c r="L188" s="24" t="n">
        <f aca="false">IF(L$184&lt;=Inputs!$C$81,IF(L$184&lt;=Inputs!$C$79,0,$C$171-L187),$C$182-L187)</f>
        <v>17.1989741536605</v>
      </c>
      <c r="M188" s="24" t="n">
        <f aca="false">IF(M$184&lt;=Inputs!$C$81,IF(M$184&lt;=Inputs!$C$79,0,$C$171-M187),$C$182-M187)</f>
        <v>18.3169074736484</v>
      </c>
      <c r="N188" s="24" t="n">
        <f aca="false">IF(N$184&lt;=Inputs!$C$81,IF(N$184&lt;=Inputs!$C$79,0,$C$171-N187),$C$182-N187)</f>
        <v>19.5075064594355</v>
      </c>
    </row>
    <row r="189" customFormat="false" ht="15" hidden="false" customHeight="false" outlineLevel="0" collapsed="false">
      <c r="B189" s="29" t="s">
        <v>198</v>
      </c>
      <c r="E189" s="30" t="n">
        <f aca="false">E185-E188</f>
        <v>495</v>
      </c>
      <c r="F189" s="30" t="n">
        <f aca="false">F185-F188</f>
        <v>495</v>
      </c>
      <c r="G189" s="30" t="n">
        <f aca="false">G185-G188</f>
        <v>485.977774484924</v>
      </c>
      <c r="H189" s="30" t="n">
        <f aca="false">H185-H188</f>
        <v>476.414215438944</v>
      </c>
      <c r="I189" s="30" t="n">
        <f aca="false">I185-I188</f>
        <v>466.276842850205</v>
      </c>
      <c r="J189" s="30" t="n">
        <f aca="false">J185-J188</f>
        <v>455.531227906142</v>
      </c>
      <c r="K189" s="30" t="n">
        <f aca="false">K185-K188</f>
        <v>444.140876065435</v>
      </c>
      <c r="L189" s="30" t="n">
        <f aca="false">L185-L188</f>
        <v>650.556506161059</v>
      </c>
      <c r="M189" s="30" t="n">
        <f aca="false">M185-M188</f>
        <v>632.239598687411</v>
      </c>
      <c r="N189" s="30" t="n">
        <f aca="false">N185-N188</f>
        <v>612.732092227975</v>
      </c>
    </row>
    <row r="190" customFormat="false" ht="15" hidden="false" customHeight="false" outlineLevel="0" collapsed="false">
      <c r="B190" s="9" t="s">
        <v>199</v>
      </c>
      <c r="E190" s="24" t="n">
        <f aca="false">E187+E188</f>
        <v>29.7</v>
      </c>
      <c r="F190" s="24" t="n">
        <f aca="false">F187+F188</f>
        <v>29.7</v>
      </c>
      <c r="G190" s="24" t="n">
        <f aca="false">G187+G188</f>
        <v>38.7222255150756</v>
      </c>
      <c r="H190" s="24" t="n">
        <f aca="false">H187+H188</f>
        <v>38.7222255150756</v>
      </c>
      <c r="I190" s="24" t="n">
        <f aca="false">I187+I188</f>
        <v>38.7222255150756</v>
      </c>
      <c r="J190" s="24" t="n">
        <f aca="false">J187+J188</f>
        <v>38.7222255150756</v>
      </c>
      <c r="K190" s="24" t="n">
        <f aca="false">K187+K188</f>
        <v>38.7222255150756</v>
      </c>
      <c r="L190" s="24" t="n">
        <f aca="false">L187+L188</f>
        <v>60.6030803741173</v>
      </c>
      <c r="M190" s="24" t="n">
        <f aca="false">M187+M188</f>
        <v>60.6030803741173</v>
      </c>
      <c r="N190" s="24" t="n">
        <f aca="false">N187+N188</f>
        <v>60.6030803741173</v>
      </c>
    </row>
    <row r="191" customFormat="false" ht="15" hidden="false" customHeight="false" outlineLevel="0" collapsed="false">
      <c r="B191" s="9" t="s">
        <v>200</v>
      </c>
      <c r="E191" s="22" t="n">
        <f aca="false">(Scenarios!E230-Scenarios!E231)/E190</f>
        <v>1.66612945454545</v>
      </c>
      <c r="F191" s="22" t="n">
        <f aca="false">(Scenarios!F230-Scenarios!F231)/F190</f>
        <v>1.71053046949495</v>
      </c>
      <c r="G191" s="22" t="n">
        <f aca="false">(Scenarios!G230-Scenarios!G231)/G190</f>
        <v>1.34667412828785</v>
      </c>
      <c r="H191" s="22" t="n">
        <f aca="false">(Scenarios!H230-Scenarios!H231)/H190</f>
        <v>1.70625261192632</v>
      </c>
      <c r="I191" s="22" t="n">
        <f aca="false">(Scenarios!I230-Scenarios!I231)/I190</f>
        <v>2.07982748999891</v>
      </c>
      <c r="J191" s="22" t="n">
        <f aca="false">(Scenarios!J230-Scenarios!J231)/J190</f>
        <v>2.11631941479037</v>
      </c>
      <c r="K191" s="22" t="n">
        <f aca="false">(Scenarios!K230-Scenarios!K231)/K190</f>
        <v>2.15340787488152</v>
      </c>
      <c r="L191" s="22" t="n">
        <f aca="false">(Scenarios!L230-Scenarios!L231)/L190</f>
        <v>1.4</v>
      </c>
      <c r="M191" s="22" t="n">
        <f aca="false">(Scenarios!M230-Scenarios!M231)/M190</f>
        <v>1.30515031060845</v>
      </c>
      <c r="N191" s="22" t="n">
        <f aca="false">(Scenarios!N230-Scenarios!N231)/N190</f>
        <v>1.32763674046874</v>
      </c>
    </row>
    <row r="192" customFormat="false" ht="15" hidden="false" customHeight="false" outlineLevel="0" collapsed="false">
      <c r="B192" s="29" t="s">
        <v>201</v>
      </c>
      <c r="C192" s="32" t="n">
        <f aca="false">MIN(I191:K191)</f>
        <v>2.07982748999891</v>
      </c>
    </row>
    <row r="194" customFormat="false" ht="15" hidden="false" customHeight="false" outlineLevel="0" collapsed="false">
      <c r="B194" s="25" t="s">
        <v>202</v>
      </c>
      <c r="C194" s="26"/>
      <c r="D194" s="26" t="n">
        <v>0</v>
      </c>
      <c r="E194" s="26" t="n">
        <v>1</v>
      </c>
      <c r="F194" s="26" t="n">
        <v>2</v>
      </c>
      <c r="G194" s="26" t="n">
        <v>3</v>
      </c>
      <c r="H194" s="26" t="n">
        <v>4</v>
      </c>
      <c r="I194" s="26" t="n">
        <v>5</v>
      </c>
      <c r="J194" s="26" t="n">
        <v>6</v>
      </c>
      <c r="K194" s="26" t="n">
        <v>7</v>
      </c>
      <c r="L194" s="26" t="n">
        <v>8</v>
      </c>
      <c r="M194" s="26" t="n">
        <v>9</v>
      </c>
      <c r="N194" s="26" t="n">
        <v>10</v>
      </c>
    </row>
    <row r="195" customFormat="false" ht="15" hidden="false" customHeight="false" outlineLevel="0" collapsed="false">
      <c r="B195" s="9" t="s">
        <v>203</v>
      </c>
      <c r="D195" s="24" t="n">
        <f aca="false">$C$170*(1-Inputs!$C$82)</f>
        <v>490.05</v>
      </c>
      <c r="E195" s="24" t="n">
        <f aca="false">-E190+IF(E$184=Inputs!$C$81,$C$181,0)</f>
        <v>-29.7</v>
      </c>
      <c r="F195" s="24" t="n">
        <f aca="false">-F190+IF(F$184=Inputs!$C$81,$C$181,0)</f>
        <v>-29.7</v>
      </c>
      <c r="G195" s="24" t="n">
        <f aca="false">-G190+IF(G$184=Inputs!$C$81,$C$181,0)</f>
        <v>-38.7222255150756</v>
      </c>
      <c r="H195" s="24" t="n">
        <f aca="false">-H190+IF(H$184=Inputs!$C$81,$C$181,0)</f>
        <v>-38.7222255150756</v>
      </c>
      <c r="I195" s="24" t="n">
        <f aca="false">-I190+IF(I$184=Inputs!$C$81,$C$181,0)</f>
        <v>-38.7222255150756</v>
      </c>
      <c r="J195" s="24" t="n">
        <f aca="false">-J190+IF(J$184=Inputs!$C$81,$C$181,0)</f>
        <v>-38.7222255150756</v>
      </c>
      <c r="K195" s="24" t="n">
        <f aca="false">-K190+IF(K$184=Inputs!$C$81,$C$181,0)</f>
        <v>178.214823931062</v>
      </c>
      <c r="L195" s="24" t="n">
        <f aca="false">-L190+IF(L$184=Inputs!$C$81,$C$181,0)</f>
        <v>-60.6030803741173</v>
      </c>
      <c r="M195" s="24" t="n">
        <f aca="false">-M190+IF(M$184=Inputs!$C$81,$C$181,0)</f>
        <v>-60.6030803741173</v>
      </c>
      <c r="N195" s="24" t="n">
        <f aca="false">-N190+IF(N$184=Inputs!$C$81,$C$181,0)-N189</f>
        <v>-673.335172602093</v>
      </c>
    </row>
    <row r="196" customFormat="false" ht="15" hidden="false" customHeight="false" outlineLevel="0" collapsed="false">
      <c r="B196" s="29" t="s">
        <v>202</v>
      </c>
      <c r="D196" s="30" t="n">
        <f aca="false">Scenarios!D246+D195</f>
        <v>-427.95</v>
      </c>
      <c r="E196" s="30" t="n">
        <f aca="false">Scenarios!E246+E195</f>
        <v>-64.2159552</v>
      </c>
      <c r="F196" s="30" t="n">
        <f aca="false">Scenarios!F246+F195</f>
        <v>-69.617245056</v>
      </c>
      <c r="G196" s="30" t="n">
        <f aca="false">Scenarios!G246+G195</f>
        <v>13.4239937758044</v>
      </c>
      <c r="H196" s="30" t="n">
        <f aca="false">Scenarios!H246+H195</f>
        <v>27.347672909622</v>
      </c>
      <c r="I196" s="30" t="n">
        <f aca="false">Scenarios!I246+I195</f>
        <v>41.8133235851159</v>
      </c>
      <c r="J196" s="30" t="n">
        <f aca="false">Scenarios!J246+J195</f>
        <v>43.2263721263698</v>
      </c>
      <c r="K196" s="30" t="n">
        <f aca="false">Scenarios!K246+K195</f>
        <v>261.599569288164</v>
      </c>
      <c r="L196" s="30" t="n">
        <f aca="false">Scenarios!L246+L195</f>
        <v>24.2412321496469</v>
      </c>
      <c r="M196" s="30" t="n">
        <f aca="false">Scenarios!M246+M195</f>
        <v>5.69304879999095</v>
      </c>
      <c r="N196" s="30" t="n">
        <f aca="false">Scenarios!N246+N195</f>
        <v>735.095578769347</v>
      </c>
    </row>
    <row r="197" customFormat="false" ht="15" hidden="false" customHeight="false" outlineLevel="0" collapsed="false">
      <c r="B197" s="29" t="s">
        <v>204</v>
      </c>
      <c r="C197" s="31" t="n">
        <f aca="false">IRR(D196:N196,0.08)</f>
        <v>0.0913887174768365</v>
      </c>
    </row>
    <row r="198" customFormat="false" ht="15" hidden="false" customHeight="false" outlineLevel="0" collapsed="false">
      <c r="B198" s="9" t="s">
        <v>205</v>
      </c>
      <c r="C198" s="33" t="n">
        <f aca="false">SUMIF(D196:N196,"&gt;0")/-SUMIF(D196:N196,"&lt;0")</f>
        <v>2.05139774717169</v>
      </c>
    </row>
    <row r="199" customFormat="false" ht="15" hidden="false" customHeight="false" outlineLevel="0" collapsed="false">
      <c r="B199" s="9" t="s">
        <v>206</v>
      </c>
      <c r="C199" s="24" t="n">
        <f aca="false">-D196</f>
        <v>427.95</v>
      </c>
    </row>
    <row r="202" customFormat="false" ht="15" hidden="false" customHeight="false" outlineLevel="0" collapsed="false">
      <c r="B202" s="7" t="s">
        <v>212</v>
      </c>
      <c r="C202" s="8"/>
      <c r="D202" s="8"/>
      <c r="E202" s="8"/>
      <c r="F202" s="8"/>
      <c r="G202" s="8"/>
      <c r="H202" s="8"/>
      <c r="I202" s="8"/>
      <c r="J202" s="8"/>
      <c r="K202" s="8"/>
      <c r="L202" s="8"/>
      <c r="M202" s="8"/>
      <c r="N202" s="8"/>
    </row>
    <row r="203" customFormat="false" ht="15" hidden="false" customHeight="false" outlineLevel="0" collapsed="false">
      <c r="B203" s="9" t="s">
        <v>180</v>
      </c>
      <c r="C203" s="24" t="n">
        <f aca="false">Inputs!$C$77*Scenarios!$C$261</f>
        <v>495</v>
      </c>
    </row>
    <row r="204" customFormat="false" ht="15" hidden="false" customHeight="false" outlineLevel="0" collapsed="false">
      <c r="B204" s="9" t="s">
        <v>181</v>
      </c>
      <c r="C204" s="24" t="n">
        <f aca="false">$C$203*Inputs!$C$78/(1-(1+Inputs!$C$78)^(-Inputs!$C$80))</f>
        <v>38.7222255150756</v>
      </c>
    </row>
    <row r="205" customFormat="false" ht="15" hidden="false" customHeight="false" outlineLevel="0" collapsed="false">
      <c r="B205" s="9" t="s">
        <v>182</v>
      </c>
      <c r="C205" s="24" t="n">
        <f aca="false">$C$203*(1+Inputs!$C$78)^(Inputs!$C$81-Inputs!$C$79)-$C$204*((1+Inputs!$C$78)^(Inputs!$C$81-Inputs!$C$79)-1)/Inputs!$C$78</f>
        <v>444.140876065435</v>
      </c>
    </row>
    <row r="206" customFormat="false" ht="15" hidden="false" customHeight="false" outlineLevel="0" collapsed="false">
      <c r="B206" s="9" t="s">
        <v>183</v>
      </c>
      <c r="C206" s="20" t="n">
        <f aca="false">IF(Scenarios!$C$251="renew",1,0)</f>
        <v>1</v>
      </c>
    </row>
    <row r="207" customFormat="false" ht="15" hidden="false" customHeight="false" outlineLevel="0" collapsed="false">
      <c r="B207" s="9" t="s">
        <v>184</v>
      </c>
      <c r="C207" s="20" t="n">
        <f aca="false">IF($C$206=1,Inputs!$C$86,Inputs!$C$87)</f>
        <v>20</v>
      </c>
    </row>
    <row r="208" customFormat="false" ht="15" hidden="false" customHeight="false" outlineLevel="0" collapsed="false">
      <c r="B208" s="9" t="s">
        <v>185</v>
      </c>
      <c r="C208" s="24" t="n">
        <f aca="false">IF($C$206=1,INDEX(Scenarios!$E$279:$O$279,(Inputs!$C$81+1))-INDEX(Scenarios!$E$280:$O$280,(Inputs!$C$81+1)),INDEX(Scenarios!$E$274:$O$274,(Inputs!$C$81+1))+INDEX(Scenarios!$E$276:$O$276,(Inputs!$C$81+1))-INDEX(Scenarios!$E$277:$O$277,(Inputs!$C$81+1))-Inputs!$C$12*INDEX(Scenarios!$E$274:$O$274,(Inputs!$C$81+1))-Inputs!$C$39*(1+Inputs!$C$11)^((Inputs!$C$81+1)-1))</f>
        <v>84.2311006971786</v>
      </c>
    </row>
    <row r="209" customFormat="false" ht="15" hidden="false" customHeight="false" outlineLevel="0" collapsed="false">
      <c r="B209" s="9" t="s">
        <v>186</v>
      </c>
      <c r="C209" s="24" t="n">
        <f aca="false">$C$208/Inputs!$C$84</f>
        <v>60.1650719265561</v>
      </c>
    </row>
    <row r="210" customFormat="false" ht="15" hidden="false" customHeight="false" outlineLevel="0" collapsed="false">
      <c r="B210" s="9" t="s">
        <v>187</v>
      </c>
      <c r="C210" s="24" t="n">
        <f aca="false">$C$209*(1-(1+Inputs!$C$83)^(-$C$207))/Inputs!$C$83</f>
        <v>662.929281060861</v>
      </c>
    </row>
    <row r="211" customFormat="false" ht="15" hidden="false" customHeight="false" outlineLevel="0" collapsed="false">
      <c r="B211" s="9" t="s">
        <v>188</v>
      </c>
      <c r="C211" s="24" t="n">
        <f aca="false">$C$208/Scenarios!$C$286</f>
        <v>1347.69761115486</v>
      </c>
    </row>
    <row r="212" customFormat="false" ht="15" hidden="false" customHeight="false" outlineLevel="0" collapsed="false">
      <c r="B212" s="9" t="s">
        <v>189</v>
      </c>
      <c r="C212" s="24" t="n">
        <f aca="false">Inputs!$C$85*$C$211</f>
        <v>741.233686135172</v>
      </c>
    </row>
    <row r="213" customFormat="false" ht="15" hidden="false" customHeight="false" outlineLevel="0" collapsed="false">
      <c r="B213" s="29" t="s">
        <v>190</v>
      </c>
      <c r="C213" s="30" t="n">
        <f aca="false">MIN($C$210,$C$212)</f>
        <v>662.929281060861</v>
      </c>
    </row>
    <row r="214" customFormat="false" ht="15" hidden="false" customHeight="false" outlineLevel="0" collapsed="false">
      <c r="B214" s="29" t="s">
        <v>191</v>
      </c>
      <c r="C214" s="30" t="n">
        <f aca="false">$C$213*(1-Inputs!$C$82)-$C$205</f>
        <v>212.159112184818</v>
      </c>
    </row>
    <row r="215" customFormat="false" ht="15" hidden="false" customHeight="false" outlineLevel="0" collapsed="false">
      <c r="B215" s="9" t="s">
        <v>192</v>
      </c>
      <c r="C215" s="24" t="n">
        <f aca="false">$C$213*Inputs!$C$83/(1-(1+Inputs!$C$83)^(-$C$207))</f>
        <v>60.1650719265561</v>
      </c>
    </row>
    <row r="217" customFormat="false" ht="15" hidden="false" customHeight="false" outlineLevel="0" collapsed="false">
      <c r="B217" s="25" t="s">
        <v>193</v>
      </c>
      <c r="C217" s="26"/>
      <c r="D217" s="26" t="n">
        <v>0</v>
      </c>
      <c r="E217" s="26" t="n">
        <v>1</v>
      </c>
      <c r="F217" s="26" t="n">
        <v>2</v>
      </c>
      <c r="G217" s="26" t="n">
        <v>3</v>
      </c>
      <c r="H217" s="26" t="n">
        <v>4</v>
      </c>
      <c r="I217" s="26" t="n">
        <v>5</v>
      </c>
      <c r="J217" s="26" t="n">
        <v>6</v>
      </c>
      <c r="K217" s="26" t="n">
        <v>7</v>
      </c>
      <c r="L217" s="26" t="n">
        <v>8</v>
      </c>
      <c r="M217" s="26" t="n">
        <v>9</v>
      </c>
      <c r="N217" s="26" t="n">
        <v>10</v>
      </c>
    </row>
    <row r="218" customFormat="false" ht="15" hidden="false" customHeight="false" outlineLevel="0" collapsed="false">
      <c r="B218" s="9" t="s">
        <v>194</v>
      </c>
      <c r="E218" s="24" t="n">
        <f aca="false">$C$203</f>
        <v>495</v>
      </c>
      <c r="F218" s="24" t="n">
        <f aca="false">IF(F$217=Inputs!$C$81+1,$C$213,E222)</f>
        <v>495</v>
      </c>
      <c r="G218" s="24" t="n">
        <f aca="false">IF(G$217=Inputs!$C$81+1,$C$213,F222)</f>
        <v>495</v>
      </c>
      <c r="H218" s="24" t="n">
        <f aca="false">IF(H$217=Inputs!$C$81+1,$C$213,G222)</f>
        <v>485.977774484924</v>
      </c>
      <c r="I218" s="24" t="n">
        <f aca="false">IF(I$217=Inputs!$C$81+1,$C$213,H222)</f>
        <v>476.414215438944</v>
      </c>
      <c r="J218" s="24" t="n">
        <f aca="false">IF(J$217=Inputs!$C$81+1,$C$213,I222)</f>
        <v>466.276842850205</v>
      </c>
      <c r="K218" s="24" t="n">
        <f aca="false">IF(K$217=Inputs!$C$81+1,$C$213,J222)</f>
        <v>455.531227906142</v>
      </c>
      <c r="L218" s="24" t="n">
        <f aca="false">IF(L$217=Inputs!$C$81+1,$C$213,K222)</f>
        <v>662.929281060861</v>
      </c>
      <c r="M218" s="24" t="n">
        <f aca="false">IF(M$217=Inputs!$C$81+1,$C$213,L222)</f>
        <v>645.854612403261</v>
      </c>
      <c r="N218" s="24" t="n">
        <f aca="false">IF(N$217=Inputs!$C$81+1,$C$213,M222)</f>
        <v>627.670090282917</v>
      </c>
    </row>
    <row r="219" customFormat="false" ht="15" hidden="false" customHeight="false" outlineLevel="0" collapsed="false">
      <c r="B219" s="9" t="s">
        <v>195</v>
      </c>
      <c r="E219" s="23" t="n">
        <f aca="false">IF(E$217&lt;=Inputs!$C$81,Inputs!$C$78,Inputs!$C$83)</f>
        <v>0.06</v>
      </c>
      <c r="F219" s="23" t="n">
        <f aca="false">IF(F$217&lt;=Inputs!$C$81,Inputs!$C$78,Inputs!$C$83)</f>
        <v>0.06</v>
      </c>
      <c r="G219" s="23" t="n">
        <f aca="false">IF(G$217&lt;=Inputs!$C$81,Inputs!$C$78,Inputs!$C$83)</f>
        <v>0.06</v>
      </c>
      <c r="H219" s="23" t="n">
        <f aca="false">IF(H$217&lt;=Inputs!$C$81,Inputs!$C$78,Inputs!$C$83)</f>
        <v>0.06</v>
      </c>
      <c r="I219" s="23" t="n">
        <f aca="false">IF(I$217&lt;=Inputs!$C$81,Inputs!$C$78,Inputs!$C$83)</f>
        <v>0.06</v>
      </c>
      <c r="J219" s="23" t="n">
        <f aca="false">IF(J$217&lt;=Inputs!$C$81,Inputs!$C$78,Inputs!$C$83)</f>
        <v>0.06</v>
      </c>
      <c r="K219" s="23" t="n">
        <f aca="false">IF(K$217&lt;=Inputs!$C$81,Inputs!$C$78,Inputs!$C$83)</f>
        <v>0.06</v>
      </c>
      <c r="L219" s="23" t="n">
        <f aca="false">IF(L$217&lt;=Inputs!$C$81,Inputs!$C$78,Inputs!$C$83)</f>
        <v>0.065</v>
      </c>
      <c r="M219" s="23" t="n">
        <f aca="false">IF(M$217&lt;=Inputs!$C$81,Inputs!$C$78,Inputs!$C$83)</f>
        <v>0.065</v>
      </c>
      <c r="N219" s="23" t="n">
        <f aca="false">IF(N$217&lt;=Inputs!$C$81,Inputs!$C$78,Inputs!$C$83)</f>
        <v>0.065</v>
      </c>
    </row>
    <row r="220" customFormat="false" ht="15" hidden="false" customHeight="false" outlineLevel="0" collapsed="false">
      <c r="B220" s="9" t="s">
        <v>196</v>
      </c>
      <c r="E220" s="24" t="n">
        <f aca="false">E218*E219</f>
        <v>29.7</v>
      </c>
      <c r="F220" s="24" t="n">
        <f aca="false">F218*F219</f>
        <v>29.7</v>
      </c>
      <c r="G220" s="24" t="n">
        <f aca="false">G218*G219</f>
        <v>29.7</v>
      </c>
      <c r="H220" s="24" t="n">
        <f aca="false">H218*H219</f>
        <v>29.1586664690955</v>
      </c>
      <c r="I220" s="24" t="n">
        <f aca="false">I218*I219</f>
        <v>28.5848529263367</v>
      </c>
      <c r="J220" s="24" t="n">
        <f aca="false">J218*J219</f>
        <v>27.9766105710123</v>
      </c>
      <c r="K220" s="24" t="n">
        <f aca="false">K218*K219</f>
        <v>27.3318736743685</v>
      </c>
      <c r="L220" s="24" t="n">
        <f aca="false">L218*L219</f>
        <v>43.090403268956</v>
      </c>
      <c r="M220" s="24" t="n">
        <f aca="false">M218*M219</f>
        <v>41.980549806212</v>
      </c>
      <c r="N220" s="24" t="n">
        <f aca="false">N218*N219</f>
        <v>40.7985558683896</v>
      </c>
    </row>
    <row r="221" customFormat="false" ht="15" hidden="false" customHeight="false" outlineLevel="0" collapsed="false">
      <c r="B221" s="9" t="s">
        <v>197</v>
      </c>
      <c r="E221" s="24" t="n">
        <f aca="false">IF(E$217&lt;=Inputs!$C$81,IF(E$217&lt;=Inputs!$C$79,0,$C$204-E220),$C$215-E220)</f>
        <v>0</v>
      </c>
      <c r="F221" s="24" t="n">
        <f aca="false">IF(F$217&lt;=Inputs!$C$81,IF(F$217&lt;=Inputs!$C$79,0,$C$204-F220),$C$215-F220)</f>
        <v>0</v>
      </c>
      <c r="G221" s="24" t="n">
        <f aca="false">IF(G$217&lt;=Inputs!$C$81,IF(G$217&lt;=Inputs!$C$79,0,$C$204-G220),$C$215-G220)</f>
        <v>9.0222255150756</v>
      </c>
      <c r="H221" s="24" t="n">
        <f aca="false">IF(H$217&lt;=Inputs!$C$81,IF(H$217&lt;=Inputs!$C$79,0,$C$204-H220),$C$215-H220)</f>
        <v>9.56355904598014</v>
      </c>
      <c r="I221" s="24" t="n">
        <f aca="false">IF(I$217&lt;=Inputs!$C$81,IF(I$217&lt;=Inputs!$C$79,0,$C$204-I220),$C$215-I220)</f>
        <v>10.1373725887389</v>
      </c>
      <c r="J221" s="24" t="n">
        <f aca="false">IF(J$217&lt;=Inputs!$C$81,IF(J$217&lt;=Inputs!$C$79,0,$C$204-J220),$C$215-J220)</f>
        <v>10.7456149440633</v>
      </c>
      <c r="K221" s="24" t="n">
        <f aca="false">IF(K$217&lt;=Inputs!$C$81,IF(K$217&lt;=Inputs!$C$79,0,$C$204-K220),$C$215-K220)</f>
        <v>11.3903518407071</v>
      </c>
      <c r="L221" s="24" t="n">
        <f aca="false">IF(L$217&lt;=Inputs!$C$81,IF(L$217&lt;=Inputs!$C$79,0,$C$204-L220),$C$215-L220)</f>
        <v>17.0746686576002</v>
      </c>
      <c r="M221" s="24" t="n">
        <f aca="false">IF(M$217&lt;=Inputs!$C$81,IF(M$217&lt;=Inputs!$C$79,0,$C$204-M220),$C$215-M220)</f>
        <v>18.1845221203442</v>
      </c>
      <c r="N221" s="24" t="n">
        <f aca="false">IF(N$217&lt;=Inputs!$C$81,IF(N$217&lt;=Inputs!$C$79,0,$C$204-N220),$C$215-N220)</f>
        <v>19.3665160581665</v>
      </c>
    </row>
    <row r="222" customFormat="false" ht="15" hidden="false" customHeight="false" outlineLevel="0" collapsed="false">
      <c r="B222" s="29" t="s">
        <v>198</v>
      </c>
      <c r="E222" s="30" t="n">
        <f aca="false">E218-E221</f>
        <v>495</v>
      </c>
      <c r="F222" s="30" t="n">
        <f aca="false">F218-F221</f>
        <v>495</v>
      </c>
      <c r="G222" s="30" t="n">
        <f aca="false">G218-G221</f>
        <v>485.977774484924</v>
      </c>
      <c r="H222" s="30" t="n">
        <f aca="false">H218-H221</f>
        <v>476.414215438944</v>
      </c>
      <c r="I222" s="30" t="n">
        <f aca="false">I218-I221</f>
        <v>466.276842850205</v>
      </c>
      <c r="J222" s="30" t="n">
        <f aca="false">J218-J221</f>
        <v>455.531227906142</v>
      </c>
      <c r="K222" s="30" t="n">
        <f aca="false">K218-K221</f>
        <v>444.140876065435</v>
      </c>
      <c r="L222" s="30" t="n">
        <f aca="false">L218-L221</f>
        <v>645.854612403261</v>
      </c>
      <c r="M222" s="30" t="n">
        <f aca="false">M218-M221</f>
        <v>627.670090282917</v>
      </c>
      <c r="N222" s="30" t="n">
        <f aca="false">N218-N221</f>
        <v>608.303574224751</v>
      </c>
    </row>
    <row r="223" customFormat="false" ht="15" hidden="false" customHeight="false" outlineLevel="0" collapsed="false">
      <c r="B223" s="9" t="s">
        <v>199</v>
      </c>
      <c r="E223" s="24" t="n">
        <f aca="false">E220+E221</f>
        <v>29.7</v>
      </c>
      <c r="F223" s="24" t="n">
        <f aca="false">F220+F221</f>
        <v>29.7</v>
      </c>
      <c r="G223" s="24" t="n">
        <f aca="false">G220+G221</f>
        <v>38.7222255150756</v>
      </c>
      <c r="H223" s="24" t="n">
        <f aca="false">H220+H221</f>
        <v>38.7222255150756</v>
      </c>
      <c r="I223" s="24" t="n">
        <f aca="false">I220+I221</f>
        <v>38.7222255150756</v>
      </c>
      <c r="J223" s="24" t="n">
        <f aca="false">J220+J221</f>
        <v>38.7222255150756</v>
      </c>
      <c r="K223" s="24" t="n">
        <f aca="false">K220+K221</f>
        <v>38.7222255150756</v>
      </c>
      <c r="L223" s="24" t="n">
        <f aca="false">L220+L221</f>
        <v>60.1650719265561</v>
      </c>
      <c r="M223" s="24" t="n">
        <f aca="false">M220+M221</f>
        <v>60.1650719265561</v>
      </c>
      <c r="N223" s="24" t="n">
        <f aca="false">N220+N221</f>
        <v>60.1650719265561</v>
      </c>
    </row>
    <row r="224" customFormat="false" ht="15" hidden="false" customHeight="false" outlineLevel="0" collapsed="false">
      <c r="B224" s="9" t="s">
        <v>200</v>
      </c>
      <c r="E224" s="22" t="n">
        <f aca="false">(Scenarios!E279-Scenarios!E280)/E223</f>
        <v>1.66612945454545</v>
      </c>
      <c r="F224" s="22" t="n">
        <f aca="false">(Scenarios!F279-Scenarios!F280)/F223</f>
        <v>1.71053046949495</v>
      </c>
      <c r="G224" s="22" t="n">
        <f aca="false">(Scenarios!G279-Scenarios!G280)/G223</f>
        <v>1.34667412828785</v>
      </c>
      <c r="H224" s="22" t="n">
        <f aca="false">(Scenarios!H279-Scenarios!H280)/H223</f>
        <v>1.38201985068918</v>
      </c>
      <c r="I224" s="22" t="n">
        <f aca="false">(Scenarios!I279-Scenarios!I280)/I223</f>
        <v>1.31876577910819</v>
      </c>
      <c r="J224" s="22" t="n">
        <f aca="false">(Scenarios!J279-Scenarios!J280)/J223</f>
        <v>2.10109818057255</v>
      </c>
      <c r="K224" s="22" t="n">
        <f aca="false">(Scenarios!K279-Scenarios!K280)/K223</f>
        <v>2.13788221597935</v>
      </c>
      <c r="L224" s="22" t="n">
        <f aca="false">(Scenarios!L279-Scenarios!L280)/L223</f>
        <v>1.4</v>
      </c>
      <c r="M224" s="22" t="n">
        <f aca="false">(Scenarios!M279-Scenarios!M280)/M223</f>
        <v>1.30425595114023</v>
      </c>
      <c r="N224" s="22" t="n">
        <f aca="false">(Scenarios!N279-Scenarios!N280)/N223</f>
        <v>1.32669816473113</v>
      </c>
    </row>
    <row r="225" customFormat="false" ht="15" hidden="false" customHeight="false" outlineLevel="0" collapsed="false">
      <c r="B225" s="29" t="s">
        <v>201</v>
      </c>
      <c r="C225" s="32" t="n">
        <f aca="false">MIN(I224:K224)</f>
        <v>1.31876577910819</v>
      </c>
    </row>
    <row r="227" customFormat="false" ht="15" hidden="false" customHeight="false" outlineLevel="0" collapsed="false">
      <c r="B227" s="25" t="s">
        <v>202</v>
      </c>
      <c r="C227" s="26"/>
      <c r="D227" s="26" t="n">
        <v>0</v>
      </c>
      <c r="E227" s="26" t="n">
        <v>1</v>
      </c>
      <c r="F227" s="26" t="n">
        <v>2</v>
      </c>
      <c r="G227" s="26" t="n">
        <v>3</v>
      </c>
      <c r="H227" s="26" t="n">
        <v>4</v>
      </c>
      <c r="I227" s="26" t="n">
        <v>5</v>
      </c>
      <c r="J227" s="26" t="n">
        <v>6</v>
      </c>
      <c r="K227" s="26" t="n">
        <v>7</v>
      </c>
      <c r="L227" s="26" t="n">
        <v>8</v>
      </c>
      <c r="M227" s="26" t="n">
        <v>9</v>
      </c>
      <c r="N227" s="26" t="n">
        <v>10</v>
      </c>
    </row>
    <row r="228" customFormat="false" ht="15" hidden="false" customHeight="false" outlineLevel="0" collapsed="false">
      <c r="B228" s="9" t="s">
        <v>203</v>
      </c>
      <c r="D228" s="24" t="n">
        <f aca="false">$C$203*(1-Inputs!$C$82)</f>
        <v>490.05</v>
      </c>
      <c r="E228" s="24" t="n">
        <f aca="false">-E223+IF(E$217=Inputs!$C$81,$C$214,0)</f>
        <v>-29.7</v>
      </c>
      <c r="F228" s="24" t="n">
        <f aca="false">-F223+IF(F$217=Inputs!$C$81,$C$214,0)</f>
        <v>-29.7</v>
      </c>
      <c r="G228" s="24" t="n">
        <f aca="false">-G223+IF(G$217=Inputs!$C$81,$C$214,0)</f>
        <v>-38.7222255150756</v>
      </c>
      <c r="H228" s="24" t="n">
        <f aca="false">-H223+IF(H$217=Inputs!$C$81,$C$214,0)</f>
        <v>-38.7222255150756</v>
      </c>
      <c r="I228" s="24" t="n">
        <f aca="false">-I223+IF(I$217=Inputs!$C$81,$C$214,0)</f>
        <v>-38.7222255150756</v>
      </c>
      <c r="J228" s="24" t="n">
        <f aca="false">-J223+IF(J$217=Inputs!$C$81,$C$214,0)</f>
        <v>-38.7222255150756</v>
      </c>
      <c r="K228" s="24" t="n">
        <f aca="false">-K223+IF(K$217=Inputs!$C$81,$C$214,0)</f>
        <v>173.436886669742</v>
      </c>
      <c r="L228" s="24" t="n">
        <f aca="false">-L223+IF(L$217=Inputs!$C$81,$C$214,0)</f>
        <v>-60.1650719265561</v>
      </c>
      <c r="M228" s="24" t="n">
        <f aca="false">-M223+IF(M$217=Inputs!$C$81,$C$214,0)</f>
        <v>-60.1650719265561</v>
      </c>
      <c r="N228" s="24" t="n">
        <f aca="false">-N223+IF(N$217=Inputs!$C$81,$C$214,0)-N222</f>
        <v>-668.468646151307</v>
      </c>
    </row>
    <row r="229" customFormat="false" ht="15" hidden="false" customHeight="false" outlineLevel="0" collapsed="false">
      <c r="B229" s="29" t="s">
        <v>202</v>
      </c>
      <c r="D229" s="30" t="n">
        <f aca="false">Scenarios!D295+D228</f>
        <v>-427.95</v>
      </c>
      <c r="E229" s="30" t="n">
        <f aca="false">Scenarios!E295+E228</f>
        <v>-64.2159552</v>
      </c>
      <c r="F229" s="30" t="n">
        <f aca="false">Scenarios!F295+F228</f>
        <v>-76.337245056</v>
      </c>
      <c r="G229" s="30" t="n">
        <f aca="false">Scenarios!G295+G228</f>
        <v>13.4239937758044</v>
      </c>
      <c r="H229" s="30" t="n">
        <f aca="false">Scenarios!H295+H228</f>
        <v>14.792658809622</v>
      </c>
      <c r="I229" s="30" t="n">
        <f aca="false">Scenarios!I295+I228</f>
        <v>12.3433203851159</v>
      </c>
      <c r="J229" s="30" t="n">
        <f aca="false">Scenarios!J295+J228</f>
        <v>42.6369720623698</v>
      </c>
      <c r="K229" s="30" t="n">
        <f aca="false">Scenarios!K295+K228</f>
        <v>256.220443961564</v>
      </c>
      <c r="L229" s="30" t="n">
        <f aca="false">Scenarios!L295+L228</f>
        <v>24.0660287706224</v>
      </c>
      <c r="M229" s="30" t="n">
        <f aca="false">Scenarios!M295+M228</f>
        <v>5.50558118443475</v>
      </c>
      <c r="N229" s="30" t="n">
        <f aca="false">Scenarios!N295+N228</f>
        <v>729.068373769734</v>
      </c>
    </row>
    <row r="230" customFormat="false" ht="15" hidden="false" customHeight="false" outlineLevel="0" collapsed="false">
      <c r="B230" s="29" t="s">
        <v>204</v>
      </c>
      <c r="C230" s="31" t="n">
        <f aca="false">IRR(D229:N229,0.08)</f>
        <v>0.0816184274507716</v>
      </c>
    </row>
    <row r="231" customFormat="false" ht="15" hidden="false" customHeight="false" outlineLevel="0" collapsed="false">
      <c r="B231" s="9" t="s">
        <v>205</v>
      </c>
      <c r="C231" s="33" t="n">
        <f aca="false">SUMIF(D229:N229,"&gt;0")/-SUMIF(D229:N229,"&lt;0")</f>
        <v>1.93148846343311</v>
      </c>
    </row>
    <row r="232" customFormat="false" ht="15" hidden="false" customHeight="false" outlineLevel="0" collapsed="false">
      <c r="B232" s="9" t="s">
        <v>206</v>
      </c>
      <c r="C232" s="24" t="n">
        <f aca="false">-D229</f>
        <v>427.95</v>
      </c>
    </row>
    <row r="235" customFormat="false" ht="15" hidden="false" customHeight="false" outlineLevel="0" collapsed="false">
      <c r="B235" s="7" t="s">
        <v>213</v>
      </c>
      <c r="C235" s="8"/>
      <c r="D235" s="8"/>
      <c r="E235" s="8"/>
      <c r="F235" s="8"/>
      <c r="G235" s="8"/>
      <c r="H235" s="8"/>
      <c r="I235" s="8"/>
      <c r="J235" s="8"/>
      <c r="K235" s="8"/>
      <c r="L235" s="8"/>
      <c r="M235" s="8"/>
      <c r="N235" s="8"/>
    </row>
    <row r="236" customFormat="false" ht="15" hidden="false" customHeight="false" outlineLevel="0" collapsed="false">
      <c r="B236" s="9" t="s">
        <v>180</v>
      </c>
      <c r="C236" s="24" t="n">
        <f aca="false">Inputs!$C$77*Scenarios!$C$310</f>
        <v>495</v>
      </c>
    </row>
    <row r="237" customFormat="false" ht="15" hidden="false" customHeight="false" outlineLevel="0" collapsed="false">
      <c r="B237" s="9" t="s">
        <v>181</v>
      </c>
      <c r="C237" s="24" t="n">
        <f aca="false">$C$236*Inputs!$C$78/(1-(1+Inputs!$C$78)^(-Inputs!$C$80))</f>
        <v>38.7222255150756</v>
      </c>
    </row>
    <row r="238" customFormat="false" ht="15" hidden="false" customHeight="false" outlineLevel="0" collapsed="false">
      <c r="B238" s="9" t="s">
        <v>182</v>
      </c>
      <c r="C238" s="24" t="n">
        <f aca="false">$C$236*(1+Inputs!$C$78)^(Inputs!$C$81-Inputs!$C$79)-$C$237*((1+Inputs!$C$78)^(Inputs!$C$81-Inputs!$C$79)-1)/Inputs!$C$78</f>
        <v>444.140876065435</v>
      </c>
    </row>
    <row r="239" customFormat="false" ht="15" hidden="false" customHeight="false" outlineLevel="0" collapsed="false">
      <c r="B239" s="9" t="s">
        <v>183</v>
      </c>
      <c r="C239" s="20" t="n">
        <f aca="false">IF(Scenarios!$C$300="renew",1,0)</f>
        <v>0</v>
      </c>
    </row>
    <row r="240" customFormat="false" ht="15" hidden="false" customHeight="false" outlineLevel="0" collapsed="false">
      <c r="B240" s="9" t="s">
        <v>184</v>
      </c>
      <c r="C240" s="20" t="n">
        <f aca="false">IF($C$239=1,Inputs!$C$86,Inputs!$C$87)</f>
        <v>7</v>
      </c>
    </row>
    <row r="241" customFormat="false" ht="15" hidden="false" customHeight="false" outlineLevel="0" collapsed="false">
      <c r="B241" s="9" t="s">
        <v>185</v>
      </c>
      <c r="C241" s="24" t="n">
        <f aca="false">IF($C$239=1,INDEX(Scenarios!$E$328:$O$328,(Inputs!$C$81+1))-INDEX(Scenarios!$E$329:$O$329,(Inputs!$C$81+1)),INDEX(Scenarios!$E$323:$O$323,(Inputs!$C$81+1))+INDEX(Scenarios!$E$325:$O$325,(Inputs!$C$81+1))-INDEX(Scenarios!$E$326:$O$326,(Inputs!$C$81+1))-Inputs!$C$12*INDEX(Scenarios!$E$323:$O$323,(Inputs!$C$81+1))-Inputs!$C$39*(1+Inputs!$C$11)^((Inputs!$C$81+1)-1))</f>
        <v>29.7202049015907</v>
      </c>
    </row>
    <row r="242" customFormat="false" ht="15" hidden="false" customHeight="false" outlineLevel="0" collapsed="false">
      <c r="B242" s="9" t="s">
        <v>186</v>
      </c>
      <c r="C242" s="24" t="n">
        <f aca="false">$C$241/Inputs!$C$84</f>
        <v>21.2287177868505</v>
      </c>
    </row>
    <row r="243" customFormat="false" ht="15" hidden="false" customHeight="false" outlineLevel="0" collapsed="false">
      <c r="B243" s="9" t="s">
        <v>187</v>
      </c>
      <c r="C243" s="24" t="n">
        <f aca="false">$C$242*(1-(1+Inputs!$C$83)^(-$C$240))/Inputs!$C$83</f>
        <v>116.429322431369</v>
      </c>
    </row>
    <row r="244" customFormat="false" ht="15" hidden="false" customHeight="false" outlineLevel="0" collapsed="false">
      <c r="B244" s="9" t="s">
        <v>188</v>
      </c>
      <c r="C244" s="24" t="n">
        <f aca="false">$C$241/Scenarios!$C$335</f>
        <v>495.336748359845</v>
      </c>
    </row>
    <row r="245" customFormat="false" ht="15" hidden="false" customHeight="false" outlineLevel="0" collapsed="false">
      <c r="B245" s="9" t="s">
        <v>189</v>
      </c>
      <c r="C245" s="24" t="n">
        <f aca="false">Inputs!$C$85*$C$244</f>
        <v>272.435211597915</v>
      </c>
    </row>
    <row r="246" customFormat="false" ht="15" hidden="false" customHeight="false" outlineLevel="0" collapsed="false">
      <c r="B246" s="29" t="s">
        <v>190</v>
      </c>
      <c r="C246" s="30" t="n">
        <f aca="false">MIN($C$243,$C$245)</f>
        <v>116.429322431369</v>
      </c>
    </row>
    <row r="247" customFormat="false" ht="15" hidden="false" customHeight="false" outlineLevel="0" collapsed="false">
      <c r="B247" s="29" t="s">
        <v>191</v>
      </c>
      <c r="C247" s="30" t="n">
        <f aca="false">$C$246*(1-Inputs!$C$82)-$C$238</f>
        <v>-328.875846858379</v>
      </c>
    </row>
    <row r="248" customFormat="false" ht="15" hidden="false" customHeight="false" outlineLevel="0" collapsed="false">
      <c r="B248" s="9" t="s">
        <v>192</v>
      </c>
      <c r="C248" s="24" t="n">
        <f aca="false">$C$246*Inputs!$C$83/(1-(1+Inputs!$C$83)^(-$C$240))</f>
        <v>21.2287177868505</v>
      </c>
    </row>
    <row r="250" customFormat="false" ht="15" hidden="false" customHeight="false" outlineLevel="0" collapsed="false">
      <c r="B250" s="25" t="s">
        <v>193</v>
      </c>
      <c r="C250" s="26"/>
      <c r="D250" s="26" t="n">
        <v>0</v>
      </c>
      <c r="E250" s="26" t="n">
        <v>1</v>
      </c>
      <c r="F250" s="26" t="n">
        <v>2</v>
      </c>
      <c r="G250" s="26" t="n">
        <v>3</v>
      </c>
      <c r="H250" s="26" t="n">
        <v>4</v>
      </c>
      <c r="I250" s="26" t="n">
        <v>5</v>
      </c>
      <c r="J250" s="26" t="n">
        <v>6</v>
      </c>
      <c r="K250" s="26" t="n">
        <v>7</v>
      </c>
      <c r="L250" s="26" t="n">
        <v>8</v>
      </c>
      <c r="M250" s="26" t="n">
        <v>9</v>
      </c>
      <c r="N250" s="26" t="n">
        <v>10</v>
      </c>
    </row>
    <row r="251" customFormat="false" ht="15" hidden="false" customHeight="false" outlineLevel="0" collapsed="false">
      <c r="B251" s="9" t="s">
        <v>194</v>
      </c>
      <c r="E251" s="24" t="n">
        <f aca="false">$C$236</f>
        <v>495</v>
      </c>
      <c r="F251" s="24" t="n">
        <f aca="false">IF(F$250=Inputs!$C$81+1,$C$246,E255)</f>
        <v>495</v>
      </c>
      <c r="G251" s="24" t="n">
        <f aca="false">IF(G$250=Inputs!$C$81+1,$C$246,F255)</f>
        <v>495</v>
      </c>
      <c r="H251" s="24" t="n">
        <f aca="false">IF(H$250=Inputs!$C$81+1,$C$246,G255)</f>
        <v>485.977774484924</v>
      </c>
      <c r="I251" s="24" t="n">
        <f aca="false">IF(I$250=Inputs!$C$81+1,$C$246,H255)</f>
        <v>476.414215438944</v>
      </c>
      <c r="J251" s="24" t="n">
        <f aca="false">IF(J$250=Inputs!$C$81+1,$C$246,I255)</f>
        <v>466.276842850205</v>
      </c>
      <c r="K251" s="24" t="n">
        <f aca="false">IF(K$250=Inputs!$C$81+1,$C$246,J255)</f>
        <v>455.531227906142</v>
      </c>
      <c r="L251" s="24" t="n">
        <f aca="false">IF(L$250=Inputs!$C$81+1,$C$246,K255)</f>
        <v>116.429322431369</v>
      </c>
      <c r="M251" s="24" t="n">
        <f aca="false">IF(M$250=Inputs!$C$81+1,$C$246,L255)</f>
        <v>102.768510602558</v>
      </c>
      <c r="N251" s="24" t="n">
        <f aca="false">IF(N$250=Inputs!$C$81+1,$C$246,M255)</f>
        <v>88.2197460048735</v>
      </c>
    </row>
    <row r="252" customFormat="false" ht="15" hidden="false" customHeight="false" outlineLevel="0" collapsed="false">
      <c r="B252" s="9" t="s">
        <v>195</v>
      </c>
      <c r="E252" s="23" t="n">
        <f aca="false">IF(E$250&lt;=Inputs!$C$81,Inputs!$C$78,Inputs!$C$83)</f>
        <v>0.06</v>
      </c>
      <c r="F252" s="23" t="n">
        <f aca="false">IF(F$250&lt;=Inputs!$C$81,Inputs!$C$78,Inputs!$C$83)</f>
        <v>0.06</v>
      </c>
      <c r="G252" s="23" t="n">
        <f aca="false">IF(G$250&lt;=Inputs!$C$81,Inputs!$C$78,Inputs!$C$83)</f>
        <v>0.06</v>
      </c>
      <c r="H252" s="23" t="n">
        <f aca="false">IF(H$250&lt;=Inputs!$C$81,Inputs!$C$78,Inputs!$C$83)</f>
        <v>0.06</v>
      </c>
      <c r="I252" s="23" t="n">
        <f aca="false">IF(I$250&lt;=Inputs!$C$81,Inputs!$C$78,Inputs!$C$83)</f>
        <v>0.06</v>
      </c>
      <c r="J252" s="23" t="n">
        <f aca="false">IF(J$250&lt;=Inputs!$C$81,Inputs!$C$78,Inputs!$C$83)</f>
        <v>0.06</v>
      </c>
      <c r="K252" s="23" t="n">
        <f aca="false">IF(K$250&lt;=Inputs!$C$81,Inputs!$C$78,Inputs!$C$83)</f>
        <v>0.06</v>
      </c>
      <c r="L252" s="23" t="n">
        <f aca="false">IF(L$250&lt;=Inputs!$C$81,Inputs!$C$78,Inputs!$C$83)</f>
        <v>0.065</v>
      </c>
      <c r="M252" s="23" t="n">
        <f aca="false">IF(M$250&lt;=Inputs!$C$81,Inputs!$C$78,Inputs!$C$83)</f>
        <v>0.065</v>
      </c>
      <c r="N252" s="23" t="n">
        <f aca="false">IF(N$250&lt;=Inputs!$C$81,Inputs!$C$78,Inputs!$C$83)</f>
        <v>0.065</v>
      </c>
    </row>
    <row r="253" customFormat="false" ht="15" hidden="false" customHeight="false" outlineLevel="0" collapsed="false">
      <c r="B253" s="9" t="s">
        <v>196</v>
      </c>
      <c r="E253" s="24" t="n">
        <f aca="false">E251*E252</f>
        <v>29.7</v>
      </c>
      <c r="F253" s="24" t="n">
        <f aca="false">F251*F252</f>
        <v>29.7</v>
      </c>
      <c r="G253" s="24" t="n">
        <f aca="false">G251*G252</f>
        <v>29.7</v>
      </c>
      <c r="H253" s="24" t="n">
        <f aca="false">H251*H252</f>
        <v>29.1586664690955</v>
      </c>
      <c r="I253" s="24" t="n">
        <f aca="false">I251*I252</f>
        <v>28.5848529263367</v>
      </c>
      <c r="J253" s="24" t="n">
        <f aca="false">J251*J252</f>
        <v>27.9766105710123</v>
      </c>
      <c r="K253" s="24" t="n">
        <f aca="false">K251*K252</f>
        <v>27.3318736743685</v>
      </c>
      <c r="L253" s="24" t="n">
        <f aca="false">L251*L252</f>
        <v>7.567905958039</v>
      </c>
      <c r="M253" s="24" t="n">
        <f aca="false">M251*M252</f>
        <v>6.67995318916626</v>
      </c>
      <c r="N253" s="24" t="n">
        <f aca="false">N251*N252</f>
        <v>5.73428349031678</v>
      </c>
    </row>
    <row r="254" customFormat="false" ht="15" hidden="false" customHeight="false" outlineLevel="0" collapsed="false">
      <c r="B254" s="9" t="s">
        <v>197</v>
      </c>
      <c r="E254" s="24" t="n">
        <f aca="false">IF(E$250&lt;=Inputs!$C$81,IF(E$250&lt;=Inputs!$C$79,0,$C$237-E253),$C$248-E253)</f>
        <v>0</v>
      </c>
      <c r="F254" s="24" t="n">
        <f aca="false">IF(F$250&lt;=Inputs!$C$81,IF(F$250&lt;=Inputs!$C$79,0,$C$237-F253),$C$248-F253)</f>
        <v>0</v>
      </c>
      <c r="G254" s="24" t="n">
        <f aca="false">IF(G$250&lt;=Inputs!$C$81,IF(G$250&lt;=Inputs!$C$79,0,$C$237-G253),$C$248-G253)</f>
        <v>9.0222255150756</v>
      </c>
      <c r="H254" s="24" t="n">
        <f aca="false">IF(H$250&lt;=Inputs!$C$81,IF(H$250&lt;=Inputs!$C$79,0,$C$237-H253),$C$248-H253)</f>
        <v>9.56355904598014</v>
      </c>
      <c r="I254" s="24" t="n">
        <f aca="false">IF(I$250&lt;=Inputs!$C$81,IF(I$250&lt;=Inputs!$C$79,0,$C$237-I253),$C$248-I253)</f>
        <v>10.1373725887389</v>
      </c>
      <c r="J254" s="24" t="n">
        <f aca="false">IF(J$250&lt;=Inputs!$C$81,IF(J$250&lt;=Inputs!$C$79,0,$C$237-J253),$C$248-J253)</f>
        <v>10.7456149440633</v>
      </c>
      <c r="K254" s="24" t="n">
        <f aca="false">IF(K$250&lt;=Inputs!$C$81,IF(K$250&lt;=Inputs!$C$79,0,$C$237-K253),$C$248-K253)</f>
        <v>11.3903518407071</v>
      </c>
      <c r="L254" s="24" t="n">
        <f aca="false">IF(L$250&lt;=Inputs!$C$81,IF(L$250&lt;=Inputs!$C$79,0,$C$237-L253),$C$248-L253)</f>
        <v>13.6608118288115</v>
      </c>
      <c r="M254" s="24" t="n">
        <f aca="false">IF(M$250&lt;=Inputs!$C$81,IF(M$250&lt;=Inputs!$C$79,0,$C$237-M253),$C$248-M253)</f>
        <v>14.5487645976842</v>
      </c>
      <c r="N254" s="24" t="n">
        <f aca="false">IF(N$250&lt;=Inputs!$C$81,IF(N$250&lt;=Inputs!$C$79,0,$C$237-N253),$C$248-N253)</f>
        <v>15.4944342965337</v>
      </c>
    </row>
    <row r="255" customFormat="false" ht="15" hidden="false" customHeight="false" outlineLevel="0" collapsed="false">
      <c r="B255" s="29" t="s">
        <v>198</v>
      </c>
      <c r="E255" s="30" t="n">
        <f aca="false">E251-E254</f>
        <v>495</v>
      </c>
      <c r="F255" s="30" t="n">
        <f aca="false">F251-F254</f>
        <v>495</v>
      </c>
      <c r="G255" s="30" t="n">
        <f aca="false">G251-G254</f>
        <v>485.977774484924</v>
      </c>
      <c r="H255" s="30" t="n">
        <f aca="false">H251-H254</f>
        <v>476.414215438944</v>
      </c>
      <c r="I255" s="30" t="n">
        <f aca="false">I251-I254</f>
        <v>466.276842850205</v>
      </c>
      <c r="J255" s="30" t="n">
        <f aca="false">J251-J254</f>
        <v>455.531227906142</v>
      </c>
      <c r="K255" s="30" t="n">
        <f aca="false">K251-K254</f>
        <v>444.140876065435</v>
      </c>
      <c r="L255" s="30" t="n">
        <f aca="false">L251-L254</f>
        <v>102.768510602558</v>
      </c>
      <c r="M255" s="30" t="n">
        <f aca="false">M251-M254</f>
        <v>88.2197460048735</v>
      </c>
      <c r="N255" s="30" t="n">
        <f aca="false">N251-N254</f>
        <v>72.7253117083398</v>
      </c>
    </row>
    <row r="256" customFormat="false" ht="15" hidden="false" customHeight="false" outlineLevel="0" collapsed="false">
      <c r="B256" s="9" t="s">
        <v>199</v>
      </c>
      <c r="E256" s="24" t="n">
        <f aca="false">E253+E254</f>
        <v>29.7</v>
      </c>
      <c r="F256" s="24" t="n">
        <f aca="false">F253+F254</f>
        <v>29.7</v>
      </c>
      <c r="G256" s="24" t="n">
        <f aca="false">G253+G254</f>
        <v>38.7222255150756</v>
      </c>
      <c r="H256" s="24" t="n">
        <f aca="false">H253+H254</f>
        <v>38.7222255150756</v>
      </c>
      <c r="I256" s="24" t="n">
        <f aca="false">I253+I254</f>
        <v>38.7222255150756</v>
      </c>
      <c r="J256" s="24" t="n">
        <f aca="false">J253+J254</f>
        <v>38.7222255150756</v>
      </c>
      <c r="K256" s="24" t="n">
        <f aca="false">K253+K254</f>
        <v>38.7222255150756</v>
      </c>
      <c r="L256" s="24" t="n">
        <f aca="false">L253+L254</f>
        <v>21.2287177868505</v>
      </c>
      <c r="M256" s="24" t="n">
        <f aca="false">M253+M254</f>
        <v>21.2287177868505</v>
      </c>
      <c r="N256" s="24" t="n">
        <f aca="false">N253+N254</f>
        <v>21.2287177868505</v>
      </c>
    </row>
    <row r="257" customFormat="false" ht="15" hidden="false" customHeight="false" outlineLevel="0" collapsed="false">
      <c r="B257" s="9" t="s">
        <v>200</v>
      </c>
      <c r="E257" s="22" t="n">
        <f aca="false">(Scenarios!E328-Scenarios!E329)/E256</f>
        <v>1.66612945454545</v>
      </c>
      <c r="F257" s="22" t="n">
        <f aca="false">(Scenarios!F328-Scenarios!F329)/F256</f>
        <v>1.71053046949495</v>
      </c>
      <c r="G257" s="22" t="n">
        <f aca="false">(Scenarios!G328-Scenarios!G329)/G256</f>
        <v>2.04570241088131</v>
      </c>
      <c r="H257" s="22" t="n">
        <f aca="false">(Scenarios!H328-Scenarios!H329)/H256</f>
        <v>2.09424485669414</v>
      </c>
      <c r="I257" s="22" t="n">
        <f aca="false">(Scenarios!I328-Scenarios!I329)/I256</f>
        <v>2.03613574702247</v>
      </c>
      <c r="J257" s="22" t="n">
        <f aca="false">(Scenarios!J328-Scenarios!J329)/J256</f>
        <v>2.07277846277257</v>
      </c>
      <c r="K257" s="22" t="n">
        <f aca="false">(Scenarios!K328-Scenarios!K329)/K256</f>
        <v>2.11004634528699</v>
      </c>
      <c r="L257" s="22" t="n">
        <f aca="false">(Scenarios!L328-Scenarios!L329)/L256</f>
        <v>3.91796441554576</v>
      </c>
      <c r="M257" s="22" t="n">
        <f aca="false">(Scenarios!M328-Scenarios!M329)/M256</f>
        <v>1.2975105389414</v>
      </c>
      <c r="N257" s="22" t="n">
        <f aca="false">(Scenarios!N328-Scenarios!N329)/N256</f>
        <v>1.32053840546515</v>
      </c>
    </row>
    <row r="258" customFormat="false" ht="15" hidden="false" customHeight="false" outlineLevel="0" collapsed="false">
      <c r="B258" s="29" t="s">
        <v>201</v>
      </c>
      <c r="C258" s="32" t="n">
        <f aca="false">MIN(I257:K257)</f>
        <v>2.03613574702247</v>
      </c>
    </row>
    <row r="260" customFormat="false" ht="15" hidden="false" customHeight="false" outlineLevel="0" collapsed="false">
      <c r="B260" s="25" t="s">
        <v>202</v>
      </c>
      <c r="C260" s="26"/>
      <c r="D260" s="26" t="n">
        <v>0</v>
      </c>
      <c r="E260" s="26" t="n">
        <v>1</v>
      </c>
      <c r="F260" s="26" t="n">
        <v>2</v>
      </c>
      <c r="G260" s="26" t="n">
        <v>3</v>
      </c>
      <c r="H260" s="26" t="n">
        <v>4</v>
      </c>
      <c r="I260" s="26" t="n">
        <v>5</v>
      </c>
      <c r="J260" s="26" t="n">
        <v>6</v>
      </c>
      <c r="K260" s="26" t="n">
        <v>7</v>
      </c>
      <c r="L260" s="26" t="n">
        <v>8</v>
      </c>
      <c r="M260" s="26" t="n">
        <v>9</v>
      </c>
      <c r="N260" s="26" t="n">
        <v>10</v>
      </c>
    </row>
    <row r="261" customFormat="false" ht="15" hidden="false" customHeight="false" outlineLevel="0" collapsed="false">
      <c r="B261" s="9" t="s">
        <v>203</v>
      </c>
      <c r="D261" s="24" t="n">
        <f aca="false">$C$236*(1-Inputs!$C$82)</f>
        <v>490.05</v>
      </c>
      <c r="E261" s="24" t="n">
        <f aca="false">-E256+IF(E$250=Inputs!$C$81,$C$247,0)</f>
        <v>-29.7</v>
      </c>
      <c r="F261" s="24" t="n">
        <f aca="false">-F256+IF(F$250=Inputs!$C$81,$C$247,0)</f>
        <v>-29.7</v>
      </c>
      <c r="G261" s="24" t="n">
        <f aca="false">-G256+IF(G$250=Inputs!$C$81,$C$247,0)</f>
        <v>-38.7222255150756</v>
      </c>
      <c r="H261" s="24" t="n">
        <f aca="false">-H256+IF(H$250=Inputs!$C$81,$C$247,0)</f>
        <v>-38.7222255150756</v>
      </c>
      <c r="I261" s="24" t="n">
        <f aca="false">-I256+IF(I$250=Inputs!$C$81,$C$247,0)</f>
        <v>-38.7222255150756</v>
      </c>
      <c r="J261" s="24" t="n">
        <f aca="false">-J256+IF(J$250=Inputs!$C$81,$C$247,0)</f>
        <v>-38.7222255150756</v>
      </c>
      <c r="K261" s="24" t="n">
        <f aca="false">-K256+IF(K$250=Inputs!$C$81,$C$247,0)</f>
        <v>-367.598072373455</v>
      </c>
      <c r="L261" s="24" t="n">
        <f aca="false">-L256+IF(L$250=Inputs!$C$81,$C$247,0)</f>
        <v>-21.2287177868505</v>
      </c>
      <c r="M261" s="24" t="n">
        <f aca="false">-M256+IF(M$250=Inputs!$C$81,$C$247,0)</f>
        <v>-21.2287177868505</v>
      </c>
      <c r="N261" s="24" t="n">
        <f aca="false">-N256+IF(N$250=Inputs!$C$81,$C$247,0)-N255</f>
        <v>-93.9540294951903</v>
      </c>
    </row>
    <row r="262" customFormat="false" ht="15" hidden="false" customHeight="false" outlineLevel="0" collapsed="false">
      <c r="B262" s="29" t="s">
        <v>202</v>
      </c>
      <c r="D262" s="30" t="n">
        <f aca="false">Scenarios!D344+D261</f>
        <v>-427.95</v>
      </c>
      <c r="E262" s="30" t="n">
        <f aca="false">Scenarios!E344+E261</f>
        <v>-64.2159552</v>
      </c>
      <c r="F262" s="30" t="n">
        <f aca="false">Scenarios!F344+F261</f>
        <v>-62.897245056</v>
      </c>
      <c r="G262" s="30" t="n">
        <f aca="false">Scenarios!G344+G261</f>
        <v>40.4919245758044</v>
      </c>
      <c r="H262" s="30" t="n">
        <f aca="false">Scenarios!H344+H261</f>
        <v>42.371596109622</v>
      </c>
      <c r="I262" s="30" t="n">
        <f aca="false">Scenarios!I344+I261</f>
        <v>40.1214820604352</v>
      </c>
      <c r="J262" s="30" t="n">
        <f aca="false">Scenarios!J344+J261</f>
        <v>41.5403695631955</v>
      </c>
      <c r="K262" s="30" t="n">
        <f aca="false">Scenarios!K344+K261</f>
        <v>-285.892381943991</v>
      </c>
      <c r="L262" s="30" t="n">
        <f aca="false">Scenarios!L344+L261</f>
        <v>61.9446430896931</v>
      </c>
      <c r="M262" s="30" t="n">
        <f aca="false">Scenarios!M344+M261</f>
        <v>6.31576726980083</v>
      </c>
      <c r="N262" s="30" t="n">
        <f aca="false">Scenarios!N344+N261</f>
        <v>463.568389338765</v>
      </c>
    </row>
    <row r="263" customFormat="false" ht="15" hidden="false" customHeight="false" outlineLevel="0" collapsed="false">
      <c r="B263" s="29" t="s">
        <v>204</v>
      </c>
      <c r="C263" s="31" t="n">
        <f aca="false">IRR(D262:N262,0.08)</f>
        <v>-0.0318610076253425</v>
      </c>
    </row>
    <row r="264" customFormat="false" ht="15" hidden="false" customHeight="false" outlineLevel="0" collapsed="false">
      <c r="B264" s="9" t="s">
        <v>205</v>
      </c>
      <c r="C264" s="33" t="n">
        <f aca="false">SUMIF(D262:N262,"&gt;0")/-SUMIF(D262:N262,"&lt;0")</f>
        <v>0.828051072787473</v>
      </c>
    </row>
    <row r="265" customFormat="false" ht="15" hidden="false" customHeight="false" outlineLevel="0" collapsed="false">
      <c r="B265" s="9" t="s">
        <v>206</v>
      </c>
      <c r="C265" s="24" t="n">
        <f aca="false">-D262</f>
        <v>427.95</v>
      </c>
    </row>
    <row r="268" customFormat="false" ht="15" hidden="false" customHeight="false" outlineLevel="0" collapsed="false">
      <c r="B268" s="7" t="s">
        <v>214</v>
      </c>
      <c r="C268" s="8"/>
      <c r="D268" s="8"/>
      <c r="E268" s="8"/>
      <c r="F268" s="8"/>
      <c r="G268" s="8"/>
      <c r="H268" s="8"/>
      <c r="I268" s="8"/>
      <c r="J268" s="8"/>
      <c r="K268" s="8"/>
      <c r="L268" s="8"/>
      <c r="M268" s="8"/>
      <c r="N268" s="8"/>
    </row>
    <row r="269" customFormat="false" ht="15" hidden="false" customHeight="false" outlineLevel="0" collapsed="false">
      <c r="B269" s="9" t="s">
        <v>180</v>
      </c>
      <c r="C269" s="24" t="n">
        <f aca="false">Inputs!$C$77*Scenarios!$C$359</f>
        <v>495</v>
      </c>
    </row>
    <row r="270" customFormat="false" ht="15" hidden="false" customHeight="false" outlineLevel="0" collapsed="false">
      <c r="B270" s="9" t="s">
        <v>181</v>
      </c>
      <c r="C270" s="24" t="n">
        <f aca="false">$C$269*Inputs!$C$78/(1-(1+Inputs!$C$78)^(-Inputs!$C$80))</f>
        <v>38.7222255150756</v>
      </c>
    </row>
    <row r="271" customFormat="false" ht="15" hidden="false" customHeight="false" outlineLevel="0" collapsed="false">
      <c r="B271" s="9" t="s">
        <v>182</v>
      </c>
      <c r="C271" s="24" t="n">
        <f aca="false">$C$269*(1+Inputs!$C$78)^(Inputs!$C$81-Inputs!$C$79)-$C$270*((1+Inputs!$C$78)^(Inputs!$C$81-Inputs!$C$79)-1)/Inputs!$C$78</f>
        <v>444.140876065435</v>
      </c>
    </row>
    <row r="272" customFormat="false" ht="15" hidden="false" customHeight="false" outlineLevel="0" collapsed="false">
      <c r="B272" s="9" t="s">
        <v>183</v>
      </c>
      <c r="C272" s="20" t="n">
        <f aca="false">IF(Scenarios!$C$349="renew",1,0)</f>
        <v>1</v>
      </c>
    </row>
    <row r="273" customFormat="false" ht="15" hidden="false" customHeight="false" outlineLevel="0" collapsed="false">
      <c r="B273" s="9" t="s">
        <v>184</v>
      </c>
      <c r="C273" s="20" t="n">
        <f aca="false">IF($C$272=1,Inputs!$C$86,Inputs!$C$87)</f>
        <v>20</v>
      </c>
    </row>
    <row r="274" customFormat="false" ht="15" hidden="false" customHeight="false" outlineLevel="0" collapsed="false">
      <c r="B274" s="9" t="s">
        <v>185</v>
      </c>
      <c r="C274" s="24" t="n">
        <f aca="false">IF($C$272=1,INDEX(Scenarios!$E$377:$O$377,(Inputs!$C$81+1))-INDEX(Scenarios!$E$378:$O$378,(Inputs!$C$81+1)),INDEX(Scenarios!$E$372:$O$372,(Inputs!$C$81+1))+INDEX(Scenarios!$E$374:$O$374,(Inputs!$C$81+1))-INDEX(Scenarios!$E$375:$O$375,(Inputs!$C$81+1))-Inputs!$C$12*INDEX(Scenarios!$E$372:$O$372,(Inputs!$C$81+1))-Inputs!$C$39*(1+Inputs!$C$11)^((Inputs!$C$81+1)-1))</f>
        <v>85.4697885868815</v>
      </c>
    </row>
    <row r="275" customFormat="false" ht="15" hidden="false" customHeight="false" outlineLevel="0" collapsed="false">
      <c r="B275" s="9" t="s">
        <v>186</v>
      </c>
      <c r="C275" s="24" t="n">
        <f aca="false">$C$274/Inputs!$C$84</f>
        <v>61.0498489906296</v>
      </c>
    </row>
    <row r="276" customFormat="false" ht="15" hidden="false" customHeight="false" outlineLevel="0" collapsed="false">
      <c r="B276" s="9" t="s">
        <v>187</v>
      </c>
      <c r="C276" s="24" t="n">
        <f aca="false">$C$275*(1-(1+Inputs!$C$83)^(-$C$273))/Inputs!$C$83</f>
        <v>672.678203553656</v>
      </c>
    </row>
    <row r="277" customFormat="false" ht="15" hidden="false" customHeight="false" outlineLevel="0" collapsed="false">
      <c r="B277" s="9" t="s">
        <v>188</v>
      </c>
      <c r="C277" s="24" t="n">
        <f aca="false">$C$274/Scenarios!$C$384</f>
        <v>1220.99697981259</v>
      </c>
    </row>
    <row r="278" customFormat="false" ht="15" hidden="false" customHeight="false" outlineLevel="0" collapsed="false">
      <c r="B278" s="9" t="s">
        <v>189</v>
      </c>
      <c r="C278" s="24" t="n">
        <f aca="false">Inputs!$C$85*$C$277</f>
        <v>671.548338896926</v>
      </c>
    </row>
    <row r="279" customFormat="false" ht="15" hidden="false" customHeight="false" outlineLevel="0" collapsed="false">
      <c r="B279" s="29" t="s">
        <v>190</v>
      </c>
      <c r="C279" s="30" t="n">
        <f aca="false">MIN($C$276,$C$278)</f>
        <v>671.548338896926</v>
      </c>
    </row>
    <row r="280" customFormat="false" ht="15" hidden="false" customHeight="false" outlineLevel="0" collapsed="false">
      <c r="B280" s="29" t="s">
        <v>191</v>
      </c>
      <c r="C280" s="30" t="n">
        <f aca="false">$C$279*(1-Inputs!$C$82)-$C$271</f>
        <v>220.691979442522</v>
      </c>
    </row>
    <row r="281" customFormat="false" ht="15" hidden="false" customHeight="false" outlineLevel="0" collapsed="false">
      <c r="B281" s="9" t="s">
        <v>192</v>
      </c>
      <c r="C281" s="24" t="n">
        <f aca="false">$C$279*Inputs!$C$83/(1-(1+Inputs!$C$83)^(-$C$273))</f>
        <v>60.9473065471421</v>
      </c>
    </row>
    <row r="283" customFormat="false" ht="15" hidden="false" customHeight="false" outlineLevel="0" collapsed="false">
      <c r="B283" s="25" t="s">
        <v>193</v>
      </c>
      <c r="C283" s="26"/>
      <c r="D283" s="26" t="n">
        <v>0</v>
      </c>
      <c r="E283" s="26" t="n">
        <v>1</v>
      </c>
      <c r="F283" s="26" t="n">
        <v>2</v>
      </c>
      <c r="G283" s="26" t="n">
        <v>3</v>
      </c>
      <c r="H283" s="26" t="n">
        <v>4</v>
      </c>
      <c r="I283" s="26" t="n">
        <v>5</v>
      </c>
      <c r="J283" s="26" t="n">
        <v>6</v>
      </c>
      <c r="K283" s="26" t="n">
        <v>7</v>
      </c>
      <c r="L283" s="26" t="n">
        <v>8</v>
      </c>
      <c r="M283" s="26" t="n">
        <v>9</v>
      </c>
      <c r="N283" s="26" t="n">
        <v>10</v>
      </c>
    </row>
    <row r="284" customFormat="false" ht="15" hidden="false" customHeight="false" outlineLevel="0" collapsed="false">
      <c r="B284" s="9" t="s">
        <v>194</v>
      </c>
      <c r="E284" s="24" t="n">
        <f aca="false">$C$269</f>
        <v>495</v>
      </c>
      <c r="F284" s="24" t="n">
        <f aca="false">IF(F$283=Inputs!$C$81+1,$C$279,E288)</f>
        <v>495</v>
      </c>
      <c r="G284" s="24" t="n">
        <f aca="false">IF(G$283=Inputs!$C$81+1,$C$279,F288)</f>
        <v>495</v>
      </c>
      <c r="H284" s="24" t="n">
        <f aca="false">IF(H$283=Inputs!$C$81+1,$C$279,G288)</f>
        <v>485.977774484924</v>
      </c>
      <c r="I284" s="24" t="n">
        <f aca="false">IF(I$283=Inputs!$C$81+1,$C$279,H288)</f>
        <v>476.414215438944</v>
      </c>
      <c r="J284" s="24" t="n">
        <f aca="false">IF(J$283=Inputs!$C$81+1,$C$279,I288)</f>
        <v>466.276842850205</v>
      </c>
      <c r="K284" s="24" t="n">
        <f aca="false">IF(K$283=Inputs!$C$81+1,$C$279,J288)</f>
        <v>455.531227906142</v>
      </c>
      <c r="L284" s="24" t="n">
        <f aca="false">IF(L$283=Inputs!$C$81+1,$C$279,K288)</f>
        <v>671.548338896926</v>
      </c>
      <c r="M284" s="24" t="n">
        <f aca="false">IF(M$283=Inputs!$C$81+1,$C$279,L288)</f>
        <v>654.251674378084</v>
      </c>
      <c r="N284" s="24" t="n">
        <f aca="false">IF(N$283=Inputs!$C$81+1,$C$279,M288)</f>
        <v>635.830726665517</v>
      </c>
    </row>
    <row r="285" customFormat="false" ht="15" hidden="false" customHeight="false" outlineLevel="0" collapsed="false">
      <c r="B285" s="9" t="s">
        <v>195</v>
      </c>
      <c r="E285" s="23" t="n">
        <f aca="false">IF(E$283&lt;=Inputs!$C$81,Inputs!$C$78,Inputs!$C$83)</f>
        <v>0.06</v>
      </c>
      <c r="F285" s="23" t="n">
        <f aca="false">IF(F$283&lt;=Inputs!$C$81,Inputs!$C$78,Inputs!$C$83)</f>
        <v>0.06</v>
      </c>
      <c r="G285" s="23" t="n">
        <f aca="false">IF(G$283&lt;=Inputs!$C$81,Inputs!$C$78,Inputs!$C$83)</f>
        <v>0.06</v>
      </c>
      <c r="H285" s="23" t="n">
        <f aca="false">IF(H$283&lt;=Inputs!$C$81,Inputs!$C$78,Inputs!$C$83)</f>
        <v>0.06</v>
      </c>
      <c r="I285" s="23" t="n">
        <f aca="false">IF(I$283&lt;=Inputs!$C$81,Inputs!$C$78,Inputs!$C$83)</f>
        <v>0.06</v>
      </c>
      <c r="J285" s="23" t="n">
        <f aca="false">IF(J$283&lt;=Inputs!$C$81,Inputs!$C$78,Inputs!$C$83)</f>
        <v>0.06</v>
      </c>
      <c r="K285" s="23" t="n">
        <f aca="false">IF(K$283&lt;=Inputs!$C$81,Inputs!$C$78,Inputs!$C$83)</f>
        <v>0.06</v>
      </c>
      <c r="L285" s="23" t="n">
        <f aca="false">IF(L$283&lt;=Inputs!$C$81,Inputs!$C$78,Inputs!$C$83)</f>
        <v>0.065</v>
      </c>
      <c r="M285" s="23" t="n">
        <f aca="false">IF(M$283&lt;=Inputs!$C$81,Inputs!$C$78,Inputs!$C$83)</f>
        <v>0.065</v>
      </c>
      <c r="N285" s="23" t="n">
        <f aca="false">IF(N$283&lt;=Inputs!$C$81,Inputs!$C$78,Inputs!$C$83)</f>
        <v>0.065</v>
      </c>
    </row>
    <row r="286" customFormat="false" ht="15" hidden="false" customHeight="false" outlineLevel="0" collapsed="false">
      <c r="B286" s="9" t="s">
        <v>196</v>
      </c>
      <c r="E286" s="24" t="n">
        <f aca="false">E284*E285</f>
        <v>29.7</v>
      </c>
      <c r="F286" s="24" t="n">
        <f aca="false">F284*F285</f>
        <v>29.7</v>
      </c>
      <c r="G286" s="24" t="n">
        <f aca="false">G284*G285</f>
        <v>29.7</v>
      </c>
      <c r="H286" s="24" t="n">
        <f aca="false">H284*H285</f>
        <v>29.1586664690955</v>
      </c>
      <c r="I286" s="24" t="n">
        <f aca="false">I284*I285</f>
        <v>28.5848529263367</v>
      </c>
      <c r="J286" s="24" t="n">
        <f aca="false">J284*J285</f>
        <v>27.9766105710123</v>
      </c>
      <c r="K286" s="24" t="n">
        <f aca="false">K284*K285</f>
        <v>27.3318736743685</v>
      </c>
      <c r="L286" s="24" t="n">
        <f aca="false">L284*L285</f>
        <v>43.6506420283002</v>
      </c>
      <c r="M286" s="24" t="n">
        <f aca="false">M284*M285</f>
        <v>42.5263588345755</v>
      </c>
      <c r="N286" s="24" t="n">
        <f aca="false">N284*N285</f>
        <v>41.3289972332586</v>
      </c>
    </row>
    <row r="287" customFormat="false" ht="15" hidden="false" customHeight="false" outlineLevel="0" collapsed="false">
      <c r="B287" s="9" t="s">
        <v>197</v>
      </c>
      <c r="E287" s="24" t="n">
        <f aca="false">IF(E$283&lt;=Inputs!$C$81,IF(E$283&lt;=Inputs!$C$79,0,$C$270-E286),$C$281-E286)</f>
        <v>0</v>
      </c>
      <c r="F287" s="24" t="n">
        <f aca="false">IF(F$283&lt;=Inputs!$C$81,IF(F$283&lt;=Inputs!$C$79,0,$C$270-F286),$C$281-F286)</f>
        <v>0</v>
      </c>
      <c r="G287" s="24" t="n">
        <f aca="false">IF(G$283&lt;=Inputs!$C$81,IF(G$283&lt;=Inputs!$C$79,0,$C$270-G286),$C$281-G286)</f>
        <v>9.0222255150756</v>
      </c>
      <c r="H287" s="24" t="n">
        <f aca="false">IF(H$283&lt;=Inputs!$C$81,IF(H$283&lt;=Inputs!$C$79,0,$C$270-H286),$C$281-H286)</f>
        <v>9.56355904598014</v>
      </c>
      <c r="I287" s="24" t="n">
        <f aca="false">IF(I$283&lt;=Inputs!$C$81,IF(I$283&lt;=Inputs!$C$79,0,$C$270-I286),$C$281-I286)</f>
        <v>10.1373725887389</v>
      </c>
      <c r="J287" s="24" t="n">
        <f aca="false">IF(J$283&lt;=Inputs!$C$81,IF(J$283&lt;=Inputs!$C$79,0,$C$270-J286),$C$281-J286)</f>
        <v>10.7456149440633</v>
      </c>
      <c r="K287" s="24" t="n">
        <f aca="false">IF(K$283&lt;=Inputs!$C$81,IF(K$283&lt;=Inputs!$C$79,0,$C$270-K286),$C$281-K286)</f>
        <v>11.3903518407071</v>
      </c>
      <c r="L287" s="24" t="n">
        <f aca="false">IF(L$283&lt;=Inputs!$C$81,IF(L$283&lt;=Inputs!$C$79,0,$C$270-L286),$C$281-L286)</f>
        <v>17.2966645188419</v>
      </c>
      <c r="M287" s="24" t="n">
        <f aca="false">IF(M$283&lt;=Inputs!$C$81,IF(M$283&lt;=Inputs!$C$79,0,$C$270-M286),$C$281-M286)</f>
        <v>18.4209477125666</v>
      </c>
      <c r="N287" s="24" t="n">
        <f aca="false">IF(N$283&lt;=Inputs!$C$81,IF(N$283&lt;=Inputs!$C$79,0,$C$270-N286),$C$281-N286)</f>
        <v>19.6183093138835</v>
      </c>
    </row>
    <row r="288" customFormat="false" ht="15" hidden="false" customHeight="false" outlineLevel="0" collapsed="false">
      <c r="B288" s="29" t="s">
        <v>198</v>
      </c>
      <c r="E288" s="30" t="n">
        <f aca="false">E284-E287</f>
        <v>495</v>
      </c>
      <c r="F288" s="30" t="n">
        <f aca="false">F284-F287</f>
        <v>495</v>
      </c>
      <c r="G288" s="30" t="n">
        <f aca="false">G284-G287</f>
        <v>485.977774484924</v>
      </c>
      <c r="H288" s="30" t="n">
        <f aca="false">H284-H287</f>
        <v>476.414215438944</v>
      </c>
      <c r="I288" s="30" t="n">
        <f aca="false">I284-I287</f>
        <v>466.276842850205</v>
      </c>
      <c r="J288" s="30" t="n">
        <f aca="false">J284-J287</f>
        <v>455.531227906142</v>
      </c>
      <c r="K288" s="30" t="n">
        <f aca="false">K284-K287</f>
        <v>444.140876065435</v>
      </c>
      <c r="L288" s="30" t="n">
        <f aca="false">L284-L287</f>
        <v>654.251674378084</v>
      </c>
      <c r="M288" s="30" t="n">
        <f aca="false">M284-M287</f>
        <v>635.830726665517</v>
      </c>
      <c r="N288" s="30" t="n">
        <f aca="false">N284-N287</f>
        <v>616.212417351634</v>
      </c>
    </row>
    <row r="289" customFormat="false" ht="15" hidden="false" customHeight="false" outlineLevel="0" collapsed="false">
      <c r="B289" s="9" t="s">
        <v>199</v>
      </c>
      <c r="E289" s="24" t="n">
        <f aca="false">E286+E287</f>
        <v>29.7</v>
      </c>
      <c r="F289" s="24" t="n">
        <f aca="false">F286+F287</f>
        <v>29.7</v>
      </c>
      <c r="G289" s="24" t="n">
        <f aca="false">G286+G287</f>
        <v>38.7222255150756</v>
      </c>
      <c r="H289" s="24" t="n">
        <f aca="false">H286+H287</f>
        <v>38.7222255150756</v>
      </c>
      <c r="I289" s="24" t="n">
        <f aca="false">I286+I287</f>
        <v>38.7222255150756</v>
      </c>
      <c r="J289" s="24" t="n">
        <f aca="false">J286+J287</f>
        <v>38.7222255150756</v>
      </c>
      <c r="K289" s="24" t="n">
        <f aca="false">K286+K287</f>
        <v>38.7222255150756</v>
      </c>
      <c r="L289" s="24" t="n">
        <f aca="false">L286+L287</f>
        <v>60.9473065471421</v>
      </c>
      <c r="M289" s="24" t="n">
        <f aca="false">M286+M287</f>
        <v>60.9473065471421</v>
      </c>
      <c r="N289" s="24" t="n">
        <f aca="false">N286+N287</f>
        <v>60.9473065471421</v>
      </c>
    </row>
    <row r="290" customFormat="false" ht="15" hidden="false" customHeight="false" outlineLevel="0" collapsed="false">
      <c r="B290" s="9" t="s">
        <v>200</v>
      </c>
      <c r="E290" s="22" t="n">
        <f aca="false">(Scenarios!E377-Scenarios!E378)/E289</f>
        <v>1.66612945454545</v>
      </c>
      <c r="F290" s="22" t="n">
        <f aca="false">(Scenarios!F377-Scenarios!F378)/F289</f>
        <v>1.71053046949495</v>
      </c>
      <c r="G290" s="22" t="n">
        <f aca="false">(Scenarios!G377-Scenarios!G378)/G289</f>
        <v>2.04570241088131</v>
      </c>
      <c r="H290" s="22" t="n">
        <f aca="false">(Scenarios!H377-Scenarios!H378)/H289</f>
        <v>2.09424485669414</v>
      </c>
      <c r="I290" s="22" t="n">
        <f aca="false">(Scenarios!I377-Scenarios!I378)/I289</f>
        <v>2.09504872421673</v>
      </c>
      <c r="J290" s="22" t="n">
        <f aca="false">(Scenarios!J377-Scenarios!J378)/J289</f>
        <v>2.13184507369254</v>
      </c>
      <c r="K290" s="22" t="n">
        <f aca="false">(Scenarios!K377-Scenarios!K378)/K289</f>
        <v>2.16924404696173</v>
      </c>
      <c r="L290" s="22" t="n">
        <f aca="false">(Scenarios!L377-Scenarios!L378)/L289</f>
        <v>1.40235546784617</v>
      </c>
      <c r="M290" s="22" t="n">
        <f aca="false">(Scenarios!M377-Scenarios!M378)/M289</f>
        <v>1.30824673436248</v>
      </c>
      <c r="N290" s="22" t="n">
        <f aca="false">(Scenarios!N377-Scenarios!N378)/N289</f>
        <v>1.33081551887101</v>
      </c>
    </row>
    <row r="291" customFormat="false" ht="15" hidden="false" customHeight="false" outlineLevel="0" collapsed="false">
      <c r="B291" s="29" t="s">
        <v>201</v>
      </c>
      <c r="C291" s="32" t="n">
        <f aca="false">MIN(I290:K290)</f>
        <v>2.09504872421673</v>
      </c>
    </row>
    <row r="293" customFormat="false" ht="15" hidden="false" customHeight="false" outlineLevel="0" collapsed="false">
      <c r="B293" s="25" t="s">
        <v>202</v>
      </c>
      <c r="C293" s="26"/>
      <c r="D293" s="26" t="n">
        <v>0</v>
      </c>
      <c r="E293" s="26" t="n">
        <v>1</v>
      </c>
      <c r="F293" s="26" t="n">
        <v>2</v>
      </c>
      <c r="G293" s="26" t="n">
        <v>3</v>
      </c>
      <c r="H293" s="26" t="n">
        <v>4</v>
      </c>
      <c r="I293" s="26" t="n">
        <v>5</v>
      </c>
      <c r="J293" s="26" t="n">
        <v>6</v>
      </c>
      <c r="K293" s="26" t="n">
        <v>7</v>
      </c>
      <c r="L293" s="26" t="n">
        <v>8</v>
      </c>
      <c r="M293" s="26" t="n">
        <v>9</v>
      </c>
      <c r="N293" s="26" t="n">
        <v>10</v>
      </c>
    </row>
    <row r="294" customFormat="false" ht="15" hidden="false" customHeight="false" outlineLevel="0" collapsed="false">
      <c r="B294" s="9" t="s">
        <v>203</v>
      </c>
      <c r="D294" s="24" t="n">
        <f aca="false">$C$269*(1-Inputs!$C$82)</f>
        <v>490.05</v>
      </c>
      <c r="E294" s="24" t="n">
        <f aca="false">-E289+IF(E$283=Inputs!$C$81,$C$280,0)</f>
        <v>-29.7</v>
      </c>
      <c r="F294" s="24" t="n">
        <f aca="false">-F289+IF(F$283=Inputs!$C$81,$C$280,0)</f>
        <v>-29.7</v>
      </c>
      <c r="G294" s="24" t="n">
        <f aca="false">-G289+IF(G$283=Inputs!$C$81,$C$280,0)</f>
        <v>-38.7222255150756</v>
      </c>
      <c r="H294" s="24" t="n">
        <f aca="false">-H289+IF(H$283=Inputs!$C$81,$C$280,0)</f>
        <v>-38.7222255150756</v>
      </c>
      <c r="I294" s="24" t="n">
        <f aca="false">-I289+IF(I$283=Inputs!$C$81,$C$280,0)</f>
        <v>-38.7222255150756</v>
      </c>
      <c r="J294" s="24" t="n">
        <f aca="false">-J289+IF(J$283=Inputs!$C$81,$C$280,0)</f>
        <v>-38.7222255150756</v>
      </c>
      <c r="K294" s="24" t="n">
        <f aca="false">-K289+IF(K$283=Inputs!$C$81,$C$280,0)</f>
        <v>181.969753927446</v>
      </c>
      <c r="L294" s="24" t="n">
        <f aca="false">-L289+IF(L$283=Inputs!$C$81,$C$280,0)</f>
        <v>-60.9473065471421</v>
      </c>
      <c r="M294" s="24" t="n">
        <f aca="false">-M289+IF(M$283=Inputs!$C$81,$C$280,0)</f>
        <v>-60.9473065471421</v>
      </c>
      <c r="N294" s="24" t="n">
        <f aca="false">-N289+IF(N$283=Inputs!$C$81,$C$280,0)-N288</f>
        <v>-677.159723898776</v>
      </c>
    </row>
    <row r="295" customFormat="false" ht="15" hidden="false" customHeight="false" outlineLevel="0" collapsed="false">
      <c r="B295" s="29" t="s">
        <v>202</v>
      </c>
      <c r="D295" s="30" t="n">
        <f aca="false">Scenarios!D393+D294</f>
        <v>-427.95</v>
      </c>
      <c r="E295" s="30" t="n">
        <f aca="false">Scenarios!E393+E294</f>
        <v>-64.2159552</v>
      </c>
      <c r="F295" s="30" t="n">
        <f aca="false">Scenarios!F393+F294</f>
        <v>-62.897245056</v>
      </c>
      <c r="G295" s="30" t="n">
        <f aca="false">Scenarios!G393+G294</f>
        <v>40.4919245758044</v>
      </c>
      <c r="H295" s="30" t="n">
        <f aca="false">Scenarios!H393+H294</f>
        <v>42.371596109622</v>
      </c>
      <c r="I295" s="30" t="n">
        <f aca="false">Scenarios!I393+I294</f>
        <v>42.4027236491159</v>
      </c>
      <c r="J295" s="30" t="n">
        <f aca="false">Scenarios!J393+J294</f>
        <v>43.8275601916498</v>
      </c>
      <c r="K295" s="30" t="n">
        <f aca="false">Scenarios!K393+K294</f>
        <v>265.967711111134</v>
      </c>
      <c r="L295" s="30" t="n">
        <f aca="false">Scenarios!L393+L294</f>
        <v>24.5224820397394</v>
      </c>
      <c r="M295" s="30" t="n">
        <f aca="false">Scenarios!M393+M294</f>
        <v>5.98680821134574</v>
      </c>
      <c r="N295" s="30" t="n">
        <f aca="false">Scenarios!N393+N294</f>
        <v>598.979126116587</v>
      </c>
    </row>
    <row r="296" customFormat="false" ht="15" hidden="false" customHeight="false" outlineLevel="0" collapsed="false">
      <c r="B296" s="29" t="s">
        <v>204</v>
      </c>
      <c r="C296" s="31" t="n">
        <f aca="false">IRR(D295:N295,0.08)</f>
        <v>0.0869864270326339</v>
      </c>
    </row>
    <row r="297" customFormat="false" ht="15" hidden="false" customHeight="false" outlineLevel="0" collapsed="false">
      <c r="B297" s="9" t="s">
        <v>205</v>
      </c>
      <c r="C297" s="33" t="n">
        <f aca="false">SUMIF(D295:N295,"&gt;0")/-SUMIF(D295:N295,"&lt;0")</f>
        <v>1.91788958719299</v>
      </c>
    </row>
    <row r="298" customFormat="false" ht="15" hidden="false" customHeight="false" outlineLevel="0" collapsed="false">
      <c r="B298" s="9" t="s">
        <v>206</v>
      </c>
      <c r="C298" s="24" t="n">
        <f aca="false">-D295</f>
        <v>427.95</v>
      </c>
    </row>
    <row r="301" customFormat="false" ht="15" hidden="false" customHeight="false" outlineLevel="0" collapsed="false">
      <c r="B301" s="7" t="s">
        <v>215</v>
      </c>
      <c r="C301" s="8"/>
      <c r="D301" s="8"/>
      <c r="E301" s="8"/>
      <c r="F301" s="8"/>
      <c r="G301" s="8"/>
      <c r="H301" s="8"/>
      <c r="I301" s="8"/>
      <c r="J301" s="8"/>
      <c r="K301" s="8"/>
      <c r="L301" s="8"/>
      <c r="M301" s="8"/>
      <c r="N301" s="8"/>
    </row>
    <row r="302" customFormat="false" ht="15" hidden="false" customHeight="false" outlineLevel="0" collapsed="false">
      <c r="B302" s="9" t="s">
        <v>180</v>
      </c>
      <c r="C302" s="24" t="n">
        <f aca="false">Inputs!$C$77*Scenarios!$C$408</f>
        <v>495</v>
      </c>
    </row>
    <row r="303" customFormat="false" ht="15" hidden="false" customHeight="false" outlineLevel="0" collapsed="false">
      <c r="B303" s="9" t="s">
        <v>181</v>
      </c>
      <c r="C303" s="24" t="n">
        <f aca="false">$C$302*Inputs!$C$78/(1-(1+Inputs!$C$78)^(-Inputs!$C$80))</f>
        <v>38.7222255150756</v>
      </c>
    </row>
    <row r="304" customFormat="false" ht="15" hidden="false" customHeight="false" outlineLevel="0" collapsed="false">
      <c r="B304" s="9" t="s">
        <v>182</v>
      </c>
      <c r="C304" s="24" t="n">
        <f aca="false">$C$302*(1+Inputs!$C$78)^(Inputs!$C$81-Inputs!$C$79)-$C$303*((1+Inputs!$C$78)^(Inputs!$C$81-Inputs!$C$79)-1)/Inputs!$C$78</f>
        <v>444.140876065435</v>
      </c>
    </row>
    <row r="305" customFormat="false" ht="15" hidden="false" customHeight="false" outlineLevel="0" collapsed="false">
      <c r="B305" s="9" t="s">
        <v>183</v>
      </c>
      <c r="C305" s="20" t="n">
        <f aca="false">IF(Scenarios!$C$398="renew",1,0)</f>
        <v>1</v>
      </c>
    </row>
    <row r="306" customFormat="false" ht="15" hidden="false" customHeight="false" outlineLevel="0" collapsed="false">
      <c r="B306" s="9" t="s">
        <v>184</v>
      </c>
      <c r="C306" s="20" t="n">
        <f aca="false">IF($C$305=1,Inputs!$C$86,Inputs!$C$87)</f>
        <v>20</v>
      </c>
    </row>
    <row r="307" customFormat="false" ht="15" hidden="false" customHeight="false" outlineLevel="0" collapsed="false">
      <c r="B307" s="9" t="s">
        <v>185</v>
      </c>
      <c r="C307" s="24" t="n">
        <f aca="false">IF($C$305=1,INDEX(Scenarios!$E$426:$O$426,(Inputs!$C$81+1))-INDEX(Scenarios!$E$427:$O$427,(Inputs!$C$81+1)),INDEX(Scenarios!$E$421:$O$421,(Inputs!$C$81+1))+INDEX(Scenarios!$E$423:$O$423,(Inputs!$C$81+1))-INDEX(Scenarios!$E$424:$O$424,(Inputs!$C$81+1))-Inputs!$C$12*INDEX(Scenarios!$E$421:$O$421,(Inputs!$C$81+1))-Inputs!$C$39*(1+Inputs!$C$11)^((Inputs!$C$81+1)-1))</f>
        <v>87.0878331196815</v>
      </c>
    </row>
    <row r="308" customFormat="false" ht="15" hidden="false" customHeight="false" outlineLevel="0" collapsed="false">
      <c r="B308" s="9" t="s">
        <v>186</v>
      </c>
      <c r="C308" s="24" t="n">
        <f aca="false">$C$307/Inputs!$C$84</f>
        <v>62.2055950854868</v>
      </c>
    </row>
    <row r="309" customFormat="false" ht="15" hidden="false" customHeight="false" outlineLevel="0" collapsed="false">
      <c r="B309" s="9" t="s">
        <v>187</v>
      </c>
      <c r="C309" s="24" t="n">
        <f aca="false">$C$308*(1-(1+Inputs!$C$83)^(-$C$306))/Inputs!$C$83</f>
        <v>685.41280027595</v>
      </c>
    </row>
    <row r="310" customFormat="false" ht="15" hidden="false" customHeight="false" outlineLevel="0" collapsed="false">
      <c r="B310" s="9" t="s">
        <v>188</v>
      </c>
      <c r="C310" s="24" t="n">
        <f aca="false">$C$307/Scenarios!$C$433</f>
        <v>1393.4053299149</v>
      </c>
    </row>
    <row r="311" customFormat="false" ht="15" hidden="false" customHeight="false" outlineLevel="0" collapsed="false">
      <c r="B311" s="9" t="s">
        <v>189</v>
      </c>
      <c r="C311" s="24" t="n">
        <f aca="false">Inputs!$C$85*$C$310</f>
        <v>766.372931453197</v>
      </c>
    </row>
    <row r="312" customFormat="false" ht="15" hidden="false" customHeight="false" outlineLevel="0" collapsed="false">
      <c r="B312" s="29" t="s">
        <v>190</v>
      </c>
      <c r="C312" s="30" t="n">
        <f aca="false">MIN($C$309,$C$311)</f>
        <v>685.41280027595</v>
      </c>
    </row>
    <row r="313" customFormat="false" ht="15" hidden="false" customHeight="false" outlineLevel="0" collapsed="false">
      <c r="B313" s="29" t="s">
        <v>191</v>
      </c>
      <c r="C313" s="30" t="n">
        <f aca="false">$C$312*(1-Inputs!$C$82)-$C$304</f>
        <v>234.417796207756</v>
      </c>
    </row>
    <row r="314" customFormat="false" ht="15" hidden="false" customHeight="false" outlineLevel="0" collapsed="false">
      <c r="B314" s="9" t="s">
        <v>192</v>
      </c>
      <c r="C314" s="24" t="n">
        <f aca="false">$C$312*Inputs!$C$83/(1-(1+Inputs!$C$83)^(-$C$306))</f>
        <v>62.2055950854868</v>
      </c>
    </row>
    <row r="316" customFormat="false" ht="15" hidden="false" customHeight="false" outlineLevel="0" collapsed="false">
      <c r="B316" s="25" t="s">
        <v>193</v>
      </c>
      <c r="C316" s="26"/>
      <c r="D316" s="26" t="n">
        <v>0</v>
      </c>
      <c r="E316" s="26" t="n">
        <v>1</v>
      </c>
      <c r="F316" s="26" t="n">
        <v>2</v>
      </c>
      <c r="G316" s="26" t="n">
        <v>3</v>
      </c>
      <c r="H316" s="26" t="n">
        <v>4</v>
      </c>
      <c r="I316" s="26" t="n">
        <v>5</v>
      </c>
      <c r="J316" s="26" t="n">
        <v>6</v>
      </c>
      <c r="K316" s="26" t="n">
        <v>7</v>
      </c>
      <c r="L316" s="26" t="n">
        <v>8</v>
      </c>
      <c r="M316" s="26" t="n">
        <v>9</v>
      </c>
      <c r="N316" s="26" t="n">
        <v>10</v>
      </c>
    </row>
    <row r="317" customFormat="false" ht="15" hidden="false" customHeight="false" outlineLevel="0" collapsed="false">
      <c r="B317" s="9" t="s">
        <v>194</v>
      </c>
      <c r="E317" s="24" t="n">
        <f aca="false">$C$302</f>
        <v>495</v>
      </c>
      <c r="F317" s="24" t="n">
        <f aca="false">IF(F$316=Inputs!$C$81+1,$C$312,E321)</f>
        <v>495</v>
      </c>
      <c r="G317" s="24" t="n">
        <f aca="false">IF(G$316=Inputs!$C$81+1,$C$312,F321)</f>
        <v>495</v>
      </c>
      <c r="H317" s="24" t="n">
        <f aca="false">IF(H$316=Inputs!$C$81+1,$C$312,G321)</f>
        <v>485.977774484924</v>
      </c>
      <c r="I317" s="24" t="n">
        <f aca="false">IF(I$316=Inputs!$C$81+1,$C$312,H321)</f>
        <v>476.414215438944</v>
      </c>
      <c r="J317" s="24" t="n">
        <f aca="false">IF(J$316=Inputs!$C$81+1,$C$312,I321)</f>
        <v>466.276842850205</v>
      </c>
      <c r="K317" s="24" t="n">
        <f aca="false">IF(K$316=Inputs!$C$81+1,$C$312,J321)</f>
        <v>455.531227906142</v>
      </c>
      <c r="L317" s="24" t="n">
        <f aca="false">IF(L$316=Inputs!$C$81+1,$C$312,K321)</f>
        <v>685.41280027595</v>
      </c>
      <c r="M317" s="24" t="n">
        <f aca="false">IF(M$316=Inputs!$C$81+1,$C$312,L321)</f>
        <v>667.7590372084</v>
      </c>
      <c r="N317" s="24" t="n">
        <f aca="false">IF(N$316=Inputs!$C$81+1,$C$312,M321)</f>
        <v>648.95777954146</v>
      </c>
    </row>
    <row r="318" customFormat="false" ht="15" hidden="false" customHeight="false" outlineLevel="0" collapsed="false">
      <c r="B318" s="9" t="s">
        <v>195</v>
      </c>
      <c r="E318" s="23" t="n">
        <f aca="false">IF(E$316&lt;=Inputs!$C$81,Inputs!$C$78,Inputs!$C$83)</f>
        <v>0.06</v>
      </c>
      <c r="F318" s="23" t="n">
        <f aca="false">IF(F$316&lt;=Inputs!$C$81,Inputs!$C$78,Inputs!$C$83)</f>
        <v>0.06</v>
      </c>
      <c r="G318" s="23" t="n">
        <f aca="false">IF(G$316&lt;=Inputs!$C$81,Inputs!$C$78,Inputs!$C$83)</f>
        <v>0.06</v>
      </c>
      <c r="H318" s="23" t="n">
        <f aca="false">IF(H$316&lt;=Inputs!$C$81,Inputs!$C$78,Inputs!$C$83)</f>
        <v>0.06</v>
      </c>
      <c r="I318" s="23" t="n">
        <f aca="false">IF(I$316&lt;=Inputs!$C$81,Inputs!$C$78,Inputs!$C$83)</f>
        <v>0.06</v>
      </c>
      <c r="J318" s="23" t="n">
        <f aca="false">IF(J$316&lt;=Inputs!$C$81,Inputs!$C$78,Inputs!$C$83)</f>
        <v>0.06</v>
      </c>
      <c r="K318" s="23" t="n">
        <f aca="false">IF(K$316&lt;=Inputs!$C$81,Inputs!$C$78,Inputs!$C$83)</f>
        <v>0.06</v>
      </c>
      <c r="L318" s="23" t="n">
        <f aca="false">IF(L$316&lt;=Inputs!$C$81,Inputs!$C$78,Inputs!$C$83)</f>
        <v>0.065</v>
      </c>
      <c r="M318" s="23" t="n">
        <f aca="false">IF(M$316&lt;=Inputs!$C$81,Inputs!$C$78,Inputs!$C$83)</f>
        <v>0.065</v>
      </c>
      <c r="N318" s="23" t="n">
        <f aca="false">IF(N$316&lt;=Inputs!$C$81,Inputs!$C$78,Inputs!$C$83)</f>
        <v>0.065</v>
      </c>
    </row>
    <row r="319" customFormat="false" ht="15" hidden="false" customHeight="false" outlineLevel="0" collapsed="false">
      <c r="B319" s="9" t="s">
        <v>196</v>
      </c>
      <c r="E319" s="24" t="n">
        <f aca="false">E317*E318</f>
        <v>29.7</v>
      </c>
      <c r="F319" s="24" t="n">
        <f aca="false">F317*F318</f>
        <v>29.7</v>
      </c>
      <c r="G319" s="24" t="n">
        <f aca="false">G317*G318</f>
        <v>29.7</v>
      </c>
      <c r="H319" s="24" t="n">
        <f aca="false">H317*H318</f>
        <v>29.1586664690955</v>
      </c>
      <c r="I319" s="24" t="n">
        <f aca="false">I317*I318</f>
        <v>28.5848529263367</v>
      </c>
      <c r="J319" s="24" t="n">
        <f aca="false">J317*J318</f>
        <v>27.9766105710123</v>
      </c>
      <c r="K319" s="24" t="n">
        <f aca="false">K317*K318</f>
        <v>27.3318736743685</v>
      </c>
      <c r="L319" s="24" t="n">
        <f aca="false">L317*L318</f>
        <v>44.5518320179368</v>
      </c>
      <c r="M319" s="24" t="n">
        <f aca="false">M317*M318</f>
        <v>43.404337418546</v>
      </c>
      <c r="N319" s="24" t="n">
        <f aca="false">N317*N318</f>
        <v>42.1822556701949</v>
      </c>
    </row>
    <row r="320" customFormat="false" ht="15" hidden="false" customHeight="false" outlineLevel="0" collapsed="false">
      <c r="B320" s="9" t="s">
        <v>197</v>
      </c>
      <c r="E320" s="24" t="n">
        <f aca="false">IF(E$316&lt;=Inputs!$C$81,IF(E$316&lt;=Inputs!$C$79,0,$C$303-E319),$C$314-E319)</f>
        <v>0</v>
      </c>
      <c r="F320" s="24" t="n">
        <f aca="false">IF(F$316&lt;=Inputs!$C$81,IF(F$316&lt;=Inputs!$C$79,0,$C$303-F319),$C$314-F319)</f>
        <v>0</v>
      </c>
      <c r="G320" s="24" t="n">
        <f aca="false">IF(G$316&lt;=Inputs!$C$81,IF(G$316&lt;=Inputs!$C$79,0,$C$303-G319),$C$314-G319)</f>
        <v>9.0222255150756</v>
      </c>
      <c r="H320" s="24" t="n">
        <f aca="false">IF(H$316&lt;=Inputs!$C$81,IF(H$316&lt;=Inputs!$C$79,0,$C$303-H319),$C$314-H319)</f>
        <v>9.56355904598014</v>
      </c>
      <c r="I320" s="24" t="n">
        <f aca="false">IF(I$316&lt;=Inputs!$C$81,IF(I$316&lt;=Inputs!$C$79,0,$C$303-I319),$C$314-I319)</f>
        <v>10.1373725887389</v>
      </c>
      <c r="J320" s="24" t="n">
        <f aca="false">IF(J$316&lt;=Inputs!$C$81,IF(J$316&lt;=Inputs!$C$79,0,$C$303-J319),$C$314-J319)</f>
        <v>10.7456149440633</v>
      </c>
      <c r="K320" s="24" t="n">
        <f aca="false">IF(K$316&lt;=Inputs!$C$81,IF(K$316&lt;=Inputs!$C$79,0,$C$303-K319),$C$314-K319)</f>
        <v>11.3903518407071</v>
      </c>
      <c r="L320" s="24" t="n">
        <f aca="false">IF(L$316&lt;=Inputs!$C$81,IF(L$316&lt;=Inputs!$C$79,0,$C$303-L319),$C$314-L319)</f>
        <v>17.65376306755</v>
      </c>
      <c r="M320" s="24" t="n">
        <f aca="false">IF(M$316&lt;=Inputs!$C$81,IF(M$316&lt;=Inputs!$C$79,0,$C$303-M319),$C$314-M319)</f>
        <v>18.8012576669408</v>
      </c>
      <c r="N320" s="24" t="n">
        <f aca="false">IF(N$316&lt;=Inputs!$C$81,IF(N$316&lt;=Inputs!$C$79,0,$C$303-N319),$C$314-N319)</f>
        <v>20.0233394152919</v>
      </c>
    </row>
    <row r="321" customFormat="false" ht="15" hidden="false" customHeight="false" outlineLevel="0" collapsed="false">
      <c r="B321" s="29" t="s">
        <v>198</v>
      </c>
      <c r="E321" s="30" t="n">
        <f aca="false">E317-E320</f>
        <v>495</v>
      </c>
      <c r="F321" s="30" t="n">
        <f aca="false">F317-F320</f>
        <v>495</v>
      </c>
      <c r="G321" s="30" t="n">
        <f aca="false">G317-G320</f>
        <v>485.977774484924</v>
      </c>
      <c r="H321" s="30" t="n">
        <f aca="false">H317-H320</f>
        <v>476.414215438944</v>
      </c>
      <c r="I321" s="30" t="n">
        <f aca="false">I317-I320</f>
        <v>466.276842850205</v>
      </c>
      <c r="J321" s="30" t="n">
        <f aca="false">J317-J320</f>
        <v>455.531227906142</v>
      </c>
      <c r="K321" s="30" t="n">
        <f aca="false">K317-K320</f>
        <v>444.140876065435</v>
      </c>
      <c r="L321" s="30" t="n">
        <f aca="false">L317-L320</f>
        <v>667.7590372084</v>
      </c>
      <c r="M321" s="30" t="n">
        <f aca="false">M317-M320</f>
        <v>648.95777954146</v>
      </c>
      <c r="N321" s="30" t="n">
        <f aca="false">N317-N320</f>
        <v>628.934440126168</v>
      </c>
    </row>
    <row r="322" customFormat="false" ht="15" hidden="false" customHeight="false" outlineLevel="0" collapsed="false">
      <c r="B322" s="9" t="s">
        <v>199</v>
      </c>
      <c r="E322" s="24" t="n">
        <f aca="false">E319+E320</f>
        <v>29.7</v>
      </c>
      <c r="F322" s="24" t="n">
        <f aca="false">F319+F320</f>
        <v>29.7</v>
      </c>
      <c r="G322" s="24" t="n">
        <f aca="false">G319+G320</f>
        <v>38.7222255150756</v>
      </c>
      <c r="H322" s="24" t="n">
        <f aca="false">H319+H320</f>
        <v>38.7222255150756</v>
      </c>
      <c r="I322" s="24" t="n">
        <f aca="false">I319+I320</f>
        <v>38.7222255150756</v>
      </c>
      <c r="J322" s="24" t="n">
        <f aca="false">J319+J320</f>
        <v>38.7222255150756</v>
      </c>
      <c r="K322" s="24" t="n">
        <f aca="false">K319+K320</f>
        <v>38.7222255150756</v>
      </c>
      <c r="L322" s="24" t="n">
        <f aca="false">L319+L320</f>
        <v>62.2055950854868</v>
      </c>
      <c r="M322" s="24" t="n">
        <f aca="false">M319+M320</f>
        <v>62.2055950854868</v>
      </c>
      <c r="N322" s="24" t="n">
        <f aca="false">N319+N320</f>
        <v>62.2055950854868</v>
      </c>
    </row>
    <row r="323" customFormat="false" ht="15" hidden="false" customHeight="false" outlineLevel="0" collapsed="false">
      <c r="B323" s="9" t="s">
        <v>200</v>
      </c>
      <c r="E323" s="22" t="n">
        <f aca="false">(Scenarios!E426-Scenarios!E427)/E322</f>
        <v>1.71218876767677</v>
      </c>
      <c r="F323" s="22" t="n">
        <f aca="false">(Scenarios!F426-Scenarios!F427)/F322</f>
        <v>1.75658978262626</v>
      </c>
      <c r="G323" s="22" t="n">
        <f aca="false">(Scenarios!G426-Scenarios!G427)/G322</f>
        <v>2.08102996713108</v>
      </c>
      <c r="H323" s="22" t="n">
        <f aca="false">(Scenarios!H426-Scenarios!H427)/H322</f>
        <v>2.12957241294391</v>
      </c>
      <c r="I323" s="22" t="n">
        <f aca="false">(Scenarios!I426-Scenarios!I427)/I322</f>
        <v>2.13385112206483</v>
      </c>
      <c r="J323" s="22" t="n">
        <f aca="false">(Scenarios!J426-Scenarios!J427)/J322</f>
        <v>2.17161753148684</v>
      </c>
      <c r="K323" s="22" t="n">
        <f aca="false">(Scenarios!K426-Scenarios!K427)/K322</f>
        <v>2.2100108162009</v>
      </c>
      <c r="L323" s="22" t="n">
        <f aca="false">(Scenarios!L426-Scenarios!L427)/L322</f>
        <v>1.4</v>
      </c>
      <c r="M323" s="22" t="n">
        <f aca="false">(Scenarios!M426-Scenarios!M427)/M322</f>
        <v>1.30844516948601</v>
      </c>
      <c r="N323" s="22" t="n">
        <f aca="false">(Scenarios!N426-Scenarios!N427)/N322</f>
        <v>1.3312239728564</v>
      </c>
    </row>
    <row r="324" customFormat="false" ht="15" hidden="false" customHeight="false" outlineLevel="0" collapsed="false">
      <c r="B324" s="29" t="s">
        <v>201</v>
      </c>
      <c r="C324" s="32" t="n">
        <f aca="false">MIN(I323:K323)</f>
        <v>2.13385112206483</v>
      </c>
    </row>
    <row r="326" customFormat="false" ht="15" hidden="false" customHeight="false" outlineLevel="0" collapsed="false">
      <c r="B326" s="25" t="s">
        <v>202</v>
      </c>
      <c r="C326" s="26"/>
      <c r="D326" s="26" t="n">
        <v>0</v>
      </c>
      <c r="E326" s="26" t="n">
        <v>1</v>
      </c>
      <c r="F326" s="26" t="n">
        <v>2</v>
      </c>
      <c r="G326" s="26" t="n">
        <v>3</v>
      </c>
      <c r="H326" s="26" t="n">
        <v>4</v>
      </c>
      <c r="I326" s="26" t="n">
        <v>5</v>
      </c>
      <c r="J326" s="26" t="n">
        <v>6</v>
      </c>
      <c r="K326" s="26" t="n">
        <v>7</v>
      </c>
      <c r="L326" s="26" t="n">
        <v>8</v>
      </c>
      <c r="M326" s="26" t="n">
        <v>9</v>
      </c>
      <c r="N326" s="26" t="n">
        <v>10</v>
      </c>
    </row>
    <row r="327" customFormat="false" ht="15" hidden="false" customHeight="false" outlineLevel="0" collapsed="false">
      <c r="B327" s="9" t="s">
        <v>203</v>
      </c>
      <c r="D327" s="24" t="n">
        <f aca="false">$C$302*(1-Inputs!$C$82)</f>
        <v>490.05</v>
      </c>
      <c r="E327" s="24" t="n">
        <f aca="false">-E322+IF(E$316=Inputs!$C$81,$C$313,0)</f>
        <v>-29.7</v>
      </c>
      <c r="F327" s="24" t="n">
        <f aca="false">-F322+IF(F$316=Inputs!$C$81,$C$313,0)</f>
        <v>-29.7</v>
      </c>
      <c r="G327" s="24" t="n">
        <f aca="false">-G322+IF(G$316=Inputs!$C$81,$C$313,0)</f>
        <v>-38.7222255150756</v>
      </c>
      <c r="H327" s="24" t="n">
        <f aca="false">-H322+IF(H$316=Inputs!$C$81,$C$313,0)</f>
        <v>-38.7222255150756</v>
      </c>
      <c r="I327" s="24" t="n">
        <f aca="false">-I322+IF(I$316=Inputs!$C$81,$C$313,0)</f>
        <v>-38.7222255150756</v>
      </c>
      <c r="J327" s="24" t="n">
        <f aca="false">-J322+IF(J$316=Inputs!$C$81,$C$313,0)</f>
        <v>-38.7222255150756</v>
      </c>
      <c r="K327" s="24" t="n">
        <f aca="false">-K322+IF(K$316=Inputs!$C$81,$C$313,0)</f>
        <v>195.69557069268</v>
      </c>
      <c r="L327" s="24" t="n">
        <f aca="false">-L322+IF(L$316=Inputs!$C$81,$C$313,0)</f>
        <v>-62.2055950854868</v>
      </c>
      <c r="M327" s="24" t="n">
        <f aca="false">-M322+IF(M$316=Inputs!$C$81,$C$313,0)</f>
        <v>-62.2055950854868</v>
      </c>
      <c r="N327" s="24" t="n">
        <f aca="false">-N322+IF(N$316=Inputs!$C$81,$C$313,0)-N321</f>
        <v>-691.140035211654</v>
      </c>
    </row>
    <row r="328" customFormat="false" ht="15" hidden="false" customHeight="false" outlineLevel="0" collapsed="false">
      <c r="B328" s="29" t="s">
        <v>202</v>
      </c>
      <c r="D328" s="30" t="n">
        <f aca="false">Scenarios!D442+D327</f>
        <v>-427.95</v>
      </c>
      <c r="E328" s="30" t="n">
        <f aca="false">Scenarios!E442+E327</f>
        <v>-62.8479936</v>
      </c>
      <c r="F328" s="30" t="n">
        <f aca="false">Scenarios!F442+F327</f>
        <v>-61.529283456</v>
      </c>
      <c r="G328" s="30" t="n">
        <f aca="false">Scenarios!G442+G327</f>
        <v>41.8598861758044</v>
      </c>
      <c r="H328" s="30" t="n">
        <f aca="false">Scenarios!H442+H327</f>
        <v>43.739557709622</v>
      </c>
      <c r="I328" s="30" t="n">
        <f aca="false">Scenarios!I442+I327</f>
        <v>43.9052388491159</v>
      </c>
      <c r="J328" s="30" t="n">
        <f aca="false">Scenarios!J442+J327</f>
        <v>45.3676382716498</v>
      </c>
      <c r="K328" s="30" t="n">
        <f aca="false">Scenarios!K442+K327</f>
        <v>281.272107908368</v>
      </c>
      <c r="L328" s="30" t="n">
        <f aca="false">Scenarios!L442+L327</f>
        <v>24.8822380341947</v>
      </c>
      <c r="M328" s="30" t="n">
        <f aca="false">Scenarios!M442+M327</f>
        <v>6.38701531912106</v>
      </c>
      <c r="N328" s="30" t="n">
        <f aca="false">Scenarios!N442+N327</f>
        <v>757.563402410574</v>
      </c>
    </row>
    <row r="329" customFormat="false" ht="15" hidden="false" customHeight="false" outlineLevel="0" collapsed="false">
      <c r="B329" s="29" t="s">
        <v>204</v>
      </c>
      <c r="C329" s="31" t="n">
        <f aca="false">IRR(D328:N328,0.08)</f>
        <v>0.107506457099582</v>
      </c>
    </row>
    <row r="330" customFormat="false" ht="15" hidden="false" customHeight="false" outlineLevel="0" collapsed="false">
      <c r="B330" s="9" t="s">
        <v>205</v>
      </c>
      <c r="C330" s="33" t="n">
        <f aca="false">SUMIF(D328:N328,"&gt;0")/-SUMIF(D328:N328,"&lt;0")</f>
        <v>2.25405685432447</v>
      </c>
    </row>
    <row r="331" customFormat="false" ht="15" hidden="false" customHeight="false" outlineLevel="0" collapsed="false">
      <c r="B331" s="9" t="s">
        <v>206</v>
      </c>
      <c r="C331" s="24" t="n">
        <f aca="false">-D328</f>
        <v>427.95</v>
      </c>
    </row>
    <row r="334" customFormat="false" ht="15" hidden="false" customHeight="false" outlineLevel="0" collapsed="false">
      <c r="B334" s="7" t="s">
        <v>216</v>
      </c>
      <c r="C334" s="8"/>
      <c r="D334" s="8"/>
      <c r="E334" s="8"/>
      <c r="F334" s="8"/>
      <c r="G334" s="8"/>
      <c r="H334" s="8"/>
      <c r="I334" s="8"/>
      <c r="J334" s="8"/>
      <c r="K334" s="8"/>
      <c r="L334" s="8"/>
      <c r="M334" s="8"/>
      <c r="N334" s="8"/>
    </row>
    <row r="335" customFormat="false" ht="15" hidden="false" customHeight="false" outlineLevel="0" collapsed="false">
      <c r="B335" s="9" t="s">
        <v>180</v>
      </c>
      <c r="C335" s="24" t="n">
        <f aca="false">Inputs!$C$77*Scenarios!$C$457</f>
        <v>495</v>
      </c>
    </row>
    <row r="336" customFormat="false" ht="15" hidden="false" customHeight="false" outlineLevel="0" collapsed="false">
      <c r="B336" s="9" t="s">
        <v>181</v>
      </c>
      <c r="C336" s="24" t="n">
        <f aca="false">$C$335*Inputs!$C$78/(1-(1+Inputs!$C$78)^(-Inputs!$C$80))</f>
        <v>38.7222255150756</v>
      </c>
    </row>
    <row r="337" customFormat="false" ht="15" hidden="false" customHeight="false" outlineLevel="0" collapsed="false">
      <c r="B337" s="9" t="s">
        <v>182</v>
      </c>
      <c r="C337" s="24" t="n">
        <f aca="false">$C$335*(1+Inputs!$C$78)^(Inputs!$C$81-Inputs!$C$79)-$C$336*((1+Inputs!$C$78)^(Inputs!$C$81-Inputs!$C$79)-1)/Inputs!$C$78</f>
        <v>444.140876065435</v>
      </c>
    </row>
    <row r="338" customFormat="false" ht="15" hidden="false" customHeight="false" outlineLevel="0" collapsed="false">
      <c r="B338" s="9" t="s">
        <v>183</v>
      </c>
      <c r="C338" s="20" t="n">
        <f aca="false">IF(Scenarios!$C$447="renew",1,0)</f>
        <v>1</v>
      </c>
    </row>
    <row r="339" customFormat="false" ht="15" hidden="false" customHeight="false" outlineLevel="0" collapsed="false">
      <c r="B339" s="9" t="s">
        <v>184</v>
      </c>
      <c r="C339" s="20" t="n">
        <f aca="false">IF($C$338=1,Inputs!$C$86,Inputs!$C$87)</f>
        <v>20</v>
      </c>
    </row>
    <row r="340" customFormat="false" ht="15" hidden="false" customHeight="false" outlineLevel="0" collapsed="false">
      <c r="B340" s="9" t="s">
        <v>185</v>
      </c>
      <c r="C340" s="24" t="n">
        <f aca="false">IF($C$338=1,INDEX(Scenarios!$E$475:$O$475,(Inputs!$C$81+1))-INDEX(Scenarios!$E$476:$O$476,(Inputs!$C$81+1)),INDEX(Scenarios!$E$470:$O$470,(Inputs!$C$81+1))+INDEX(Scenarios!$E$472:$O$472,(Inputs!$C$81+1))-INDEX(Scenarios!$E$473:$O$473,(Inputs!$C$81+1))-Inputs!$C$12*INDEX(Scenarios!$E$470:$O$470,(Inputs!$C$81+1))-Inputs!$C$39*(1+Inputs!$C$11)^((Inputs!$C$81+1)-1))</f>
        <v>78.6740015491215</v>
      </c>
    </row>
    <row r="341" customFormat="false" ht="15" hidden="false" customHeight="false" outlineLevel="0" collapsed="false">
      <c r="B341" s="9" t="s">
        <v>186</v>
      </c>
      <c r="C341" s="24" t="n">
        <f aca="false">$C$340/Inputs!$C$84</f>
        <v>56.1957153922296</v>
      </c>
    </row>
    <row r="342" customFormat="false" ht="15" hidden="false" customHeight="false" outlineLevel="0" collapsed="false">
      <c r="B342" s="9" t="s">
        <v>187</v>
      </c>
      <c r="C342" s="24" t="n">
        <f aca="false">$C$341*(1-(1+Inputs!$C$83)^(-$C$339))/Inputs!$C$83</f>
        <v>619.192897320018</v>
      </c>
    </row>
    <row r="343" customFormat="false" ht="15" hidden="false" customHeight="false" outlineLevel="0" collapsed="false">
      <c r="B343" s="9" t="s">
        <v>188</v>
      </c>
      <c r="C343" s="24" t="n">
        <f aca="false">$C$340/Scenarios!$C$482</f>
        <v>1258.78402478594</v>
      </c>
    </row>
    <row r="344" customFormat="false" ht="15" hidden="false" customHeight="false" outlineLevel="0" collapsed="false">
      <c r="B344" s="9" t="s">
        <v>189</v>
      </c>
      <c r="C344" s="24" t="n">
        <f aca="false">Inputs!$C$85*$C$343</f>
        <v>692.331213632269</v>
      </c>
    </row>
    <row r="345" customFormat="false" ht="15" hidden="false" customHeight="false" outlineLevel="0" collapsed="false">
      <c r="B345" s="29" t="s">
        <v>190</v>
      </c>
      <c r="C345" s="30" t="n">
        <f aca="false">MIN($C$342,$C$344)</f>
        <v>619.192897320018</v>
      </c>
    </row>
    <row r="346" customFormat="false" ht="15" hidden="false" customHeight="false" outlineLevel="0" collapsed="false">
      <c r="B346" s="29" t="s">
        <v>191</v>
      </c>
      <c r="C346" s="30" t="n">
        <f aca="false">$C$345*(1-Inputs!$C$82)-$C$337</f>
        <v>168.860092281383</v>
      </c>
    </row>
    <row r="347" customFormat="false" ht="15" hidden="false" customHeight="false" outlineLevel="0" collapsed="false">
      <c r="B347" s="9" t="s">
        <v>192</v>
      </c>
      <c r="C347" s="24" t="n">
        <f aca="false">$C$345*Inputs!$C$83/(1-(1+Inputs!$C$83)^(-$C$339))</f>
        <v>56.1957153922296</v>
      </c>
    </row>
    <row r="349" customFormat="false" ht="15" hidden="false" customHeight="false" outlineLevel="0" collapsed="false">
      <c r="B349" s="25" t="s">
        <v>193</v>
      </c>
      <c r="C349" s="26"/>
      <c r="D349" s="26" t="n">
        <v>0</v>
      </c>
      <c r="E349" s="26" t="n">
        <v>1</v>
      </c>
      <c r="F349" s="26" t="n">
        <v>2</v>
      </c>
      <c r="G349" s="26" t="n">
        <v>3</v>
      </c>
      <c r="H349" s="26" t="n">
        <v>4</v>
      </c>
      <c r="I349" s="26" t="n">
        <v>5</v>
      </c>
      <c r="J349" s="26" t="n">
        <v>6</v>
      </c>
      <c r="K349" s="26" t="n">
        <v>7</v>
      </c>
      <c r="L349" s="26" t="n">
        <v>8</v>
      </c>
      <c r="M349" s="26" t="n">
        <v>9</v>
      </c>
      <c r="N349" s="26" t="n">
        <v>10</v>
      </c>
    </row>
    <row r="350" customFormat="false" ht="15" hidden="false" customHeight="false" outlineLevel="0" collapsed="false">
      <c r="B350" s="9" t="s">
        <v>194</v>
      </c>
      <c r="E350" s="24" t="n">
        <f aca="false">$C$335</f>
        <v>495</v>
      </c>
      <c r="F350" s="24" t="n">
        <f aca="false">IF(F$349=Inputs!$C$81+1,$C$345,E354)</f>
        <v>495</v>
      </c>
      <c r="G350" s="24" t="n">
        <f aca="false">IF(G$349=Inputs!$C$81+1,$C$345,F354)</f>
        <v>495</v>
      </c>
      <c r="H350" s="24" t="n">
        <f aca="false">IF(H$349=Inputs!$C$81+1,$C$345,G354)</f>
        <v>485.977774484924</v>
      </c>
      <c r="I350" s="24" t="n">
        <f aca="false">IF(I$349=Inputs!$C$81+1,$C$345,H354)</f>
        <v>476.414215438944</v>
      </c>
      <c r="J350" s="24" t="n">
        <f aca="false">IF(J$349=Inputs!$C$81+1,$C$345,I354)</f>
        <v>466.276842850205</v>
      </c>
      <c r="K350" s="24" t="n">
        <f aca="false">IF(K$349=Inputs!$C$81+1,$C$345,J354)</f>
        <v>455.531227906142</v>
      </c>
      <c r="L350" s="24" t="n">
        <f aca="false">IF(L$349=Inputs!$C$81+1,$C$345,K354)</f>
        <v>619.192897320018</v>
      </c>
      <c r="M350" s="24" t="n">
        <f aca="false">IF(M$349=Inputs!$C$81+1,$C$345,L354)</f>
        <v>603.24472025359</v>
      </c>
      <c r="N350" s="24" t="n">
        <f aca="false">IF(N$349=Inputs!$C$81+1,$C$345,M354)</f>
        <v>586.259911677843</v>
      </c>
    </row>
    <row r="351" customFormat="false" ht="15" hidden="false" customHeight="false" outlineLevel="0" collapsed="false">
      <c r="B351" s="9" t="s">
        <v>195</v>
      </c>
      <c r="E351" s="23" t="n">
        <f aca="false">IF(E$349&lt;=Inputs!$C$81,Inputs!$C$78,Inputs!$C$83)</f>
        <v>0.06</v>
      </c>
      <c r="F351" s="23" t="n">
        <f aca="false">IF(F$349&lt;=Inputs!$C$81,Inputs!$C$78,Inputs!$C$83)</f>
        <v>0.06</v>
      </c>
      <c r="G351" s="23" t="n">
        <f aca="false">IF(G$349&lt;=Inputs!$C$81,Inputs!$C$78,Inputs!$C$83)</f>
        <v>0.06</v>
      </c>
      <c r="H351" s="23" t="n">
        <f aca="false">IF(H$349&lt;=Inputs!$C$81,Inputs!$C$78,Inputs!$C$83)</f>
        <v>0.06</v>
      </c>
      <c r="I351" s="23" t="n">
        <f aca="false">IF(I$349&lt;=Inputs!$C$81,Inputs!$C$78,Inputs!$C$83)</f>
        <v>0.06</v>
      </c>
      <c r="J351" s="23" t="n">
        <f aca="false">IF(J$349&lt;=Inputs!$C$81,Inputs!$C$78,Inputs!$C$83)</f>
        <v>0.06</v>
      </c>
      <c r="K351" s="23" t="n">
        <f aca="false">IF(K$349&lt;=Inputs!$C$81,Inputs!$C$78,Inputs!$C$83)</f>
        <v>0.06</v>
      </c>
      <c r="L351" s="23" t="n">
        <f aca="false">IF(L$349&lt;=Inputs!$C$81,Inputs!$C$78,Inputs!$C$83)</f>
        <v>0.065</v>
      </c>
      <c r="M351" s="23" t="n">
        <f aca="false">IF(M$349&lt;=Inputs!$C$81,Inputs!$C$78,Inputs!$C$83)</f>
        <v>0.065</v>
      </c>
      <c r="N351" s="23" t="n">
        <f aca="false">IF(N$349&lt;=Inputs!$C$81,Inputs!$C$78,Inputs!$C$83)</f>
        <v>0.065</v>
      </c>
    </row>
    <row r="352" customFormat="false" ht="15" hidden="false" customHeight="false" outlineLevel="0" collapsed="false">
      <c r="B352" s="9" t="s">
        <v>196</v>
      </c>
      <c r="E352" s="24" t="n">
        <f aca="false">E350*E351</f>
        <v>29.7</v>
      </c>
      <c r="F352" s="24" t="n">
        <f aca="false">F350*F351</f>
        <v>29.7</v>
      </c>
      <c r="G352" s="24" t="n">
        <f aca="false">G350*G351</f>
        <v>29.7</v>
      </c>
      <c r="H352" s="24" t="n">
        <f aca="false">H350*H351</f>
        <v>29.1586664690955</v>
      </c>
      <c r="I352" s="24" t="n">
        <f aca="false">I350*I351</f>
        <v>28.5848529263367</v>
      </c>
      <c r="J352" s="24" t="n">
        <f aca="false">J350*J351</f>
        <v>27.9766105710123</v>
      </c>
      <c r="K352" s="24" t="n">
        <f aca="false">K350*K351</f>
        <v>27.3318736743685</v>
      </c>
      <c r="L352" s="24" t="n">
        <f aca="false">L350*L351</f>
        <v>40.2475383258012</v>
      </c>
      <c r="M352" s="24" t="n">
        <f aca="false">M350*M351</f>
        <v>39.2109068164833</v>
      </c>
      <c r="N352" s="24" t="n">
        <f aca="false">N350*N351</f>
        <v>38.1068942590598</v>
      </c>
    </row>
    <row r="353" customFormat="false" ht="15" hidden="false" customHeight="false" outlineLevel="0" collapsed="false">
      <c r="B353" s="9" t="s">
        <v>197</v>
      </c>
      <c r="E353" s="24" t="n">
        <f aca="false">IF(E$349&lt;=Inputs!$C$81,IF(E$349&lt;=Inputs!$C$79,0,$C$336-E352),$C$347-E352)</f>
        <v>0</v>
      </c>
      <c r="F353" s="24" t="n">
        <f aca="false">IF(F$349&lt;=Inputs!$C$81,IF(F$349&lt;=Inputs!$C$79,0,$C$336-F352),$C$347-F352)</f>
        <v>0</v>
      </c>
      <c r="G353" s="24" t="n">
        <f aca="false">IF(G$349&lt;=Inputs!$C$81,IF(G$349&lt;=Inputs!$C$79,0,$C$336-G352),$C$347-G352)</f>
        <v>9.0222255150756</v>
      </c>
      <c r="H353" s="24" t="n">
        <f aca="false">IF(H$349&lt;=Inputs!$C$81,IF(H$349&lt;=Inputs!$C$79,0,$C$336-H352),$C$347-H352)</f>
        <v>9.56355904598014</v>
      </c>
      <c r="I353" s="24" t="n">
        <f aca="false">IF(I$349&lt;=Inputs!$C$81,IF(I$349&lt;=Inputs!$C$79,0,$C$336-I352),$C$347-I352)</f>
        <v>10.1373725887389</v>
      </c>
      <c r="J353" s="24" t="n">
        <f aca="false">IF(J$349&lt;=Inputs!$C$81,IF(J$349&lt;=Inputs!$C$79,0,$C$336-J352),$C$347-J352)</f>
        <v>10.7456149440633</v>
      </c>
      <c r="K353" s="24" t="n">
        <f aca="false">IF(K$349&lt;=Inputs!$C$81,IF(K$349&lt;=Inputs!$C$79,0,$C$336-K352),$C$347-K352)</f>
        <v>11.3903518407071</v>
      </c>
      <c r="L353" s="24" t="n">
        <f aca="false">IF(L$349&lt;=Inputs!$C$81,IF(L$349&lt;=Inputs!$C$79,0,$C$336-L352),$C$347-L352)</f>
        <v>15.9481770664285</v>
      </c>
      <c r="M353" s="24" t="n">
        <f aca="false">IF(M$349&lt;=Inputs!$C$81,IF(M$349&lt;=Inputs!$C$79,0,$C$336-M352),$C$347-M352)</f>
        <v>16.9848085757463</v>
      </c>
      <c r="N353" s="24" t="n">
        <f aca="false">IF(N$349&lt;=Inputs!$C$81,IF(N$349&lt;=Inputs!$C$79,0,$C$336-N352),$C$347-N352)</f>
        <v>18.0888211331698</v>
      </c>
    </row>
    <row r="354" customFormat="false" ht="15" hidden="false" customHeight="false" outlineLevel="0" collapsed="false">
      <c r="B354" s="29" t="s">
        <v>198</v>
      </c>
      <c r="E354" s="30" t="n">
        <f aca="false">E350-E353</f>
        <v>495</v>
      </c>
      <c r="F354" s="30" t="n">
        <f aca="false">F350-F353</f>
        <v>495</v>
      </c>
      <c r="G354" s="30" t="n">
        <f aca="false">G350-G353</f>
        <v>485.977774484924</v>
      </c>
      <c r="H354" s="30" t="n">
        <f aca="false">H350-H353</f>
        <v>476.414215438944</v>
      </c>
      <c r="I354" s="30" t="n">
        <f aca="false">I350-I353</f>
        <v>466.276842850205</v>
      </c>
      <c r="J354" s="30" t="n">
        <f aca="false">J350-J353</f>
        <v>455.531227906142</v>
      </c>
      <c r="K354" s="30" t="n">
        <f aca="false">K350-K353</f>
        <v>444.140876065435</v>
      </c>
      <c r="L354" s="30" t="n">
        <f aca="false">L350-L353</f>
        <v>603.24472025359</v>
      </c>
      <c r="M354" s="30" t="n">
        <f aca="false">M350-M353</f>
        <v>586.259911677843</v>
      </c>
      <c r="N354" s="30" t="n">
        <f aca="false">N350-N353</f>
        <v>568.171090544673</v>
      </c>
    </row>
    <row r="355" customFormat="false" ht="15" hidden="false" customHeight="false" outlineLevel="0" collapsed="false">
      <c r="B355" s="9" t="s">
        <v>199</v>
      </c>
      <c r="E355" s="24" t="n">
        <f aca="false">E352+E353</f>
        <v>29.7</v>
      </c>
      <c r="F355" s="24" t="n">
        <f aca="false">F352+F353</f>
        <v>29.7</v>
      </c>
      <c r="G355" s="24" t="n">
        <f aca="false">G352+G353</f>
        <v>38.7222255150756</v>
      </c>
      <c r="H355" s="24" t="n">
        <f aca="false">H352+H353</f>
        <v>38.7222255150756</v>
      </c>
      <c r="I355" s="24" t="n">
        <f aca="false">I352+I353</f>
        <v>38.7222255150756</v>
      </c>
      <c r="J355" s="24" t="n">
        <f aca="false">J352+J353</f>
        <v>38.7222255150756</v>
      </c>
      <c r="K355" s="24" t="n">
        <f aca="false">K352+K353</f>
        <v>38.7222255150756</v>
      </c>
      <c r="L355" s="24" t="n">
        <f aca="false">L352+L353</f>
        <v>56.1957153922296</v>
      </c>
      <c r="M355" s="24" t="n">
        <f aca="false">M352+M353</f>
        <v>56.1957153922296</v>
      </c>
      <c r="N355" s="24" t="n">
        <f aca="false">N352+N353</f>
        <v>56.1957153922296</v>
      </c>
    </row>
    <row r="356" customFormat="false" ht="15" hidden="false" customHeight="false" outlineLevel="0" collapsed="false">
      <c r="B356" s="9" t="s">
        <v>200</v>
      </c>
      <c r="E356" s="22" t="n">
        <f aca="false">(Scenarios!E475-Scenarios!E476)/E355</f>
        <v>1.71218876767677</v>
      </c>
      <c r="F356" s="22" t="n">
        <f aca="false">(Scenarios!F475-Scenarios!F476)/F355</f>
        <v>1.75658978262626</v>
      </c>
      <c r="G356" s="22" t="n">
        <f aca="false">(Scenarios!G475-Scenarios!G476)/G355</f>
        <v>2.08102996713108</v>
      </c>
      <c r="H356" s="22" t="n">
        <f aca="false">(Scenarios!H475-Scenarios!H476)/H355</f>
        <v>2.12957241294391</v>
      </c>
      <c r="I356" s="22" t="n">
        <f aca="false">(Scenarios!I475-Scenarios!I476)/I355</f>
        <v>1.93207865325469</v>
      </c>
      <c r="J356" s="22" t="n">
        <f aca="false">(Scenarios!J475-Scenarios!J476)/J355</f>
        <v>1.96480075095645</v>
      </c>
      <c r="K356" s="22" t="n">
        <f aca="false">(Scenarios!K475-Scenarios!K476)/K355</f>
        <v>1.99802361615724</v>
      </c>
      <c r="L356" s="22" t="n">
        <f aca="false">(Scenarios!L475-Scenarios!L476)/L355</f>
        <v>1.4</v>
      </c>
      <c r="M356" s="22" t="n">
        <f aca="false">(Scenarios!M475-Scenarios!M476)/M355</f>
        <v>1.29491069802887</v>
      </c>
      <c r="N356" s="22" t="n">
        <f aca="false">(Scenarios!N475-Scenarios!N476)/N355</f>
        <v>1.31628892191319</v>
      </c>
    </row>
    <row r="357" customFormat="false" ht="15" hidden="false" customHeight="false" outlineLevel="0" collapsed="false">
      <c r="B357" s="29" t="s">
        <v>201</v>
      </c>
      <c r="C357" s="32" t="n">
        <f aca="false">MIN(I356:K356)</f>
        <v>1.93207865325469</v>
      </c>
    </row>
    <row r="359" customFormat="false" ht="15" hidden="false" customHeight="false" outlineLevel="0" collapsed="false">
      <c r="B359" s="25" t="s">
        <v>202</v>
      </c>
      <c r="C359" s="26"/>
      <c r="D359" s="26" t="n">
        <v>0</v>
      </c>
      <c r="E359" s="26" t="n">
        <v>1</v>
      </c>
      <c r="F359" s="26" t="n">
        <v>2</v>
      </c>
      <c r="G359" s="26" t="n">
        <v>3</v>
      </c>
      <c r="H359" s="26" t="n">
        <v>4</v>
      </c>
      <c r="I359" s="26" t="n">
        <v>5</v>
      </c>
      <c r="J359" s="26" t="n">
        <v>6</v>
      </c>
      <c r="K359" s="26" t="n">
        <v>7</v>
      </c>
      <c r="L359" s="26" t="n">
        <v>8</v>
      </c>
      <c r="M359" s="26" t="n">
        <v>9</v>
      </c>
      <c r="N359" s="26" t="n">
        <v>10</v>
      </c>
    </row>
    <row r="360" customFormat="false" ht="15" hidden="false" customHeight="false" outlineLevel="0" collapsed="false">
      <c r="B360" s="9" t="s">
        <v>203</v>
      </c>
      <c r="D360" s="24" t="n">
        <f aca="false">$C$335*(1-Inputs!$C$82)</f>
        <v>490.05</v>
      </c>
      <c r="E360" s="24" t="n">
        <f aca="false">-E355+IF(E$349=Inputs!$C$81,$C$346,0)</f>
        <v>-29.7</v>
      </c>
      <c r="F360" s="24" t="n">
        <f aca="false">-F355+IF(F$349=Inputs!$C$81,$C$346,0)</f>
        <v>-29.7</v>
      </c>
      <c r="G360" s="24" t="n">
        <f aca="false">-G355+IF(G$349=Inputs!$C$81,$C$346,0)</f>
        <v>-38.7222255150756</v>
      </c>
      <c r="H360" s="24" t="n">
        <f aca="false">-H355+IF(H$349=Inputs!$C$81,$C$346,0)</f>
        <v>-38.7222255150756</v>
      </c>
      <c r="I360" s="24" t="n">
        <f aca="false">-I355+IF(I$349=Inputs!$C$81,$C$346,0)</f>
        <v>-38.7222255150756</v>
      </c>
      <c r="J360" s="24" t="n">
        <f aca="false">-J355+IF(J$349=Inputs!$C$81,$C$346,0)</f>
        <v>-38.7222255150756</v>
      </c>
      <c r="K360" s="24" t="n">
        <f aca="false">-K355+IF(K$349=Inputs!$C$81,$C$346,0)</f>
        <v>130.137866766307</v>
      </c>
      <c r="L360" s="24" t="n">
        <f aca="false">-L355+IF(L$349=Inputs!$C$81,$C$346,0)</f>
        <v>-56.1957153922296</v>
      </c>
      <c r="M360" s="24" t="n">
        <f aca="false">-M355+IF(M$349=Inputs!$C$81,$C$346,0)</f>
        <v>-56.1957153922296</v>
      </c>
      <c r="N360" s="24" t="n">
        <f aca="false">-N355+IF(N$349=Inputs!$C$81,$C$346,0)-N354</f>
        <v>-624.366805936903</v>
      </c>
    </row>
    <row r="361" customFormat="false" ht="15" hidden="false" customHeight="false" outlineLevel="0" collapsed="false">
      <c r="B361" s="29" t="s">
        <v>202</v>
      </c>
      <c r="D361" s="30" t="n">
        <f aca="false">Scenarios!D491+D360</f>
        <v>-427.95</v>
      </c>
      <c r="E361" s="30" t="n">
        <f aca="false">Scenarios!E491+E360</f>
        <v>-62.8479936</v>
      </c>
      <c r="F361" s="30" t="n">
        <f aca="false">Scenarios!F491+F360</f>
        <v>-61.529283456</v>
      </c>
      <c r="G361" s="30" t="n">
        <f aca="false">Scenarios!G491+G360</f>
        <v>41.8598861758044</v>
      </c>
      <c r="H361" s="30" t="n">
        <f aca="false">Scenarios!H491+H360</f>
        <v>43.739557709622</v>
      </c>
      <c r="I361" s="30" t="n">
        <f aca="false">Scenarios!I491+I360</f>
        <v>36.092159809116</v>
      </c>
      <c r="J361" s="30" t="n">
        <f aca="false">Scenarios!J491+J360</f>
        <v>37.3592322556498</v>
      </c>
      <c r="K361" s="30" t="n">
        <f aca="false">Scenarios!K491+K360</f>
        <v>207.505787815595</v>
      </c>
      <c r="L361" s="30" t="n">
        <f aca="false">Scenarios!L491+L360</f>
        <v>22.4782861568918</v>
      </c>
      <c r="M361" s="30" t="n">
        <f aca="false">Scenarios!M491+M360</f>
        <v>3.77271765255421</v>
      </c>
      <c r="N361" s="30" t="n">
        <f aca="false">Scenarios!N491+N360</f>
        <v>672.699014794144</v>
      </c>
    </row>
    <row r="362" customFormat="false" ht="15" hidden="false" customHeight="false" outlineLevel="0" collapsed="false">
      <c r="B362" s="29" t="s">
        <v>204</v>
      </c>
      <c r="C362" s="31" t="n">
        <f aca="false">IRR(D361:N361,0.08)</f>
        <v>0.0853497308482576</v>
      </c>
    </row>
    <row r="363" customFormat="false" ht="15" hidden="false" customHeight="false" outlineLevel="0" collapsed="false">
      <c r="B363" s="9" t="s">
        <v>205</v>
      </c>
      <c r="C363" s="33" t="n">
        <f aca="false">SUMIF(D361:N361,"&gt;0")/-SUMIF(D361:N361,"&lt;0")</f>
        <v>1.92912189318028</v>
      </c>
    </row>
    <row r="364" customFormat="false" ht="15" hidden="false" customHeight="false" outlineLevel="0" collapsed="false">
      <c r="B364" s="9" t="s">
        <v>206</v>
      </c>
      <c r="C364" s="24" t="n">
        <f aca="false">-D361</f>
        <v>427.95</v>
      </c>
    </row>
    <row r="367" customFormat="false" ht="15" hidden="false" customHeight="false" outlineLevel="0" collapsed="false">
      <c r="B367" s="7" t="s">
        <v>217</v>
      </c>
      <c r="C367" s="8"/>
      <c r="D367" s="8"/>
      <c r="E367" s="8"/>
      <c r="F367" s="8"/>
      <c r="G367" s="8"/>
      <c r="H367" s="8"/>
      <c r="I367" s="8"/>
      <c r="J367" s="8"/>
      <c r="K367" s="8"/>
      <c r="L367" s="8"/>
      <c r="M367" s="8"/>
      <c r="N367" s="8"/>
    </row>
    <row r="368" customFormat="false" ht="15" hidden="false" customHeight="false" outlineLevel="0" collapsed="false">
      <c r="B368" s="9" t="s">
        <v>180</v>
      </c>
      <c r="C368" s="24" t="n">
        <f aca="false">Inputs!$C$77*Scenarios!$C$506</f>
        <v>495</v>
      </c>
    </row>
    <row r="369" customFormat="false" ht="15" hidden="false" customHeight="false" outlineLevel="0" collapsed="false">
      <c r="B369" s="9" t="s">
        <v>181</v>
      </c>
      <c r="C369" s="24" t="n">
        <f aca="false">$C$368*Inputs!$C$78/(1-(1+Inputs!$C$78)^(-Inputs!$C$80))</f>
        <v>38.7222255150756</v>
      </c>
    </row>
    <row r="370" customFormat="false" ht="15" hidden="false" customHeight="false" outlineLevel="0" collapsed="false">
      <c r="B370" s="9" t="s">
        <v>182</v>
      </c>
      <c r="C370" s="24" t="n">
        <f aca="false">$C$368*(1+Inputs!$C$78)^(Inputs!$C$81-Inputs!$C$79)-$C$369*((1+Inputs!$C$78)^(Inputs!$C$81-Inputs!$C$79)-1)/Inputs!$C$78</f>
        <v>444.140876065435</v>
      </c>
    </row>
    <row r="371" customFormat="false" ht="15" hidden="false" customHeight="false" outlineLevel="0" collapsed="false">
      <c r="B371" s="9" t="s">
        <v>183</v>
      </c>
      <c r="C371" s="20" t="n">
        <f aca="false">IF(Scenarios!$C$496="renew",1,0)</f>
        <v>1</v>
      </c>
    </row>
    <row r="372" customFormat="false" ht="15" hidden="false" customHeight="false" outlineLevel="0" collapsed="false">
      <c r="B372" s="9" t="s">
        <v>184</v>
      </c>
      <c r="C372" s="20" t="n">
        <f aca="false">IF($C$371=1,Inputs!$C$86,Inputs!$C$87)</f>
        <v>20</v>
      </c>
    </row>
    <row r="373" customFormat="false" ht="15" hidden="false" customHeight="false" outlineLevel="0" collapsed="false">
      <c r="B373" s="9" t="s">
        <v>185</v>
      </c>
      <c r="C373" s="24" t="n">
        <f aca="false">IF($C$371=1,INDEX(Scenarios!$E$524:$O$524,(Inputs!$C$81+1))-INDEX(Scenarios!$E$525:$O$525,(Inputs!$C$81+1)),INDEX(Scenarios!$E$519:$O$519,(Inputs!$C$81+1))+INDEX(Scenarios!$E$521:$O$521,(Inputs!$C$81+1))-INDEX(Scenarios!$E$522:$O$522,(Inputs!$C$81+1))-Inputs!$C$12*INDEX(Scenarios!$E$519:$O$519,(Inputs!$C$81+1))-Inputs!$C$39*(1+Inputs!$C$11)^((Inputs!$C$81+1)-1))</f>
        <v>76.4087392032015</v>
      </c>
    </row>
    <row r="374" customFormat="false" ht="15" hidden="false" customHeight="false" outlineLevel="0" collapsed="false">
      <c r="B374" s="9" t="s">
        <v>186</v>
      </c>
      <c r="C374" s="24" t="n">
        <f aca="false">$C$373/Inputs!$C$84</f>
        <v>54.5776708594297</v>
      </c>
    </row>
    <row r="375" customFormat="false" ht="15" hidden="false" customHeight="false" outlineLevel="0" collapsed="false">
      <c r="B375" s="9" t="s">
        <v>187</v>
      </c>
      <c r="C375" s="24" t="n">
        <f aca="false">$C$374*(1-(1+Inputs!$C$83)^(-$C$372))/Inputs!$C$83</f>
        <v>601.364461908806</v>
      </c>
    </row>
    <row r="376" customFormat="false" ht="15" hidden="false" customHeight="false" outlineLevel="0" collapsed="false">
      <c r="B376" s="9" t="s">
        <v>188</v>
      </c>
      <c r="C376" s="24" t="n">
        <f aca="false">$C$373/Scenarios!$C$531</f>
        <v>1091.55341718859</v>
      </c>
    </row>
    <row r="377" customFormat="false" ht="15" hidden="false" customHeight="false" outlineLevel="0" collapsed="false">
      <c r="B377" s="9" t="s">
        <v>189</v>
      </c>
      <c r="C377" s="24" t="n">
        <f aca="false">Inputs!$C$85*$C$376</f>
        <v>600.354379453726</v>
      </c>
    </row>
    <row r="378" customFormat="false" ht="15" hidden="false" customHeight="false" outlineLevel="0" collapsed="false">
      <c r="B378" s="29" t="s">
        <v>190</v>
      </c>
      <c r="C378" s="30" t="n">
        <f aca="false">MIN($C$375,$C$377)</f>
        <v>600.354379453726</v>
      </c>
    </row>
    <row r="379" customFormat="false" ht="15" hidden="false" customHeight="false" outlineLevel="0" collapsed="false">
      <c r="B379" s="29" t="s">
        <v>191</v>
      </c>
      <c r="C379" s="30" t="n">
        <f aca="false">$C$378*(1-Inputs!$C$82)-$C$370</f>
        <v>150.209959593754</v>
      </c>
    </row>
    <row r="380" customFormat="false" ht="15" hidden="false" customHeight="false" outlineLevel="0" collapsed="false">
      <c r="B380" s="9" t="s">
        <v>192</v>
      </c>
      <c r="C380" s="24" t="n">
        <f aca="false">$C$378*Inputs!$C$83/(1-(1+Inputs!$C$83)^(-$C$372))</f>
        <v>54.485999416792</v>
      </c>
    </row>
    <row r="382" customFormat="false" ht="15" hidden="false" customHeight="false" outlineLevel="0" collapsed="false">
      <c r="B382" s="25" t="s">
        <v>193</v>
      </c>
      <c r="C382" s="26"/>
      <c r="D382" s="26" t="n">
        <v>0</v>
      </c>
      <c r="E382" s="26" t="n">
        <v>1</v>
      </c>
      <c r="F382" s="26" t="n">
        <v>2</v>
      </c>
      <c r="G382" s="26" t="n">
        <v>3</v>
      </c>
      <c r="H382" s="26" t="n">
        <v>4</v>
      </c>
      <c r="I382" s="26" t="n">
        <v>5</v>
      </c>
      <c r="J382" s="26" t="n">
        <v>6</v>
      </c>
      <c r="K382" s="26" t="n">
        <v>7</v>
      </c>
      <c r="L382" s="26" t="n">
        <v>8</v>
      </c>
      <c r="M382" s="26" t="n">
        <v>9</v>
      </c>
      <c r="N382" s="26" t="n">
        <v>10</v>
      </c>
    </row>
    <row r="383" customFormat="false" ht="15" hidden="false" customHeight="false" outlineLevel="0" collapsed="false">
      <c r="B383" s="9" t="s">
        <v>194</v>
      </c>
      <c r="E383" s="24" t="n">
        <f aca="false">$C$368</f>
        <v>495</v>
      </c>
      <c r="F383" s="24" t="n">
        <f aca="false">IF(F$382=Inputs!$C$81+1,$C$378,E387)</f>
        <v>495</v>
      </c>
      <c r="G383" s="24" t="n">
        <f aca="false">IF(G$382=Inputs!$C$81+1,$C$378,F387)</f>
        <v>495</v>
      </c>
      <c r="H383" s="24" t="n">
        <f aca="false">IF(H$382=Inputs!$C$81+1,$C$378,G387)</f>
        <v>485.977774484924</v>
      </c>
      <c r="I383" s="24" t="n">
        <f aca="false">IF(I$382=Inputs!$C$81+1,$C$378,H387)</f>
        <v>476.414215438944</v>
      </c>
      <c r="J383" s="24" t="n">
        <f aca="false">IF(J$382=Inputs!$C$81+1,$C$378,I387)</f>
        <v>466.276842850205</v>
      </c>
      <c r="K383" s="24" t="n">
        <f aca="false">IF(K$382=Inputs!$C$81+1,$C$378,J387)</f>
        <v>455.531227906142</v>
      </c>
      <c r="L383" s="24" t="n">
        <f aca="false">IF(L$382=Inputs!$C$81+1,$C$378,K387)</f>
        <v>600.354379453726</v>
      </c>
      <c r="M383" s="24" t="n">
        <f aca="false">IF(M$382=Inputs!$C$81+1,$C$378,L387)</f>
        <v>584.891414701426</v>
      </c>
      <c r="N383" s="24" t="n">
        <f aca="false">IF(N$382=Inputs!$C$81+1,$C$378,M387)</f>
        <v>568.423357240227</v>
      </c>
    </row>
    <row r="384" customFormat="false" ht="15" hidden="false" customHeight="false" outlineLevel="0" collapsed="false">
      <c r="B384" s="9" t="s">
        <v>195</v>
      </c>
      <c r="E384" s="23" t="n">
        <f aca="false">IF(E$382&lt;=Inputs!$C$81,Inputs!$C$78,Inputs!$C$83)</f>
        <v>0.06</v>
      </c>
      <c r="F384" s="23" t="n">
        <f aca="false">IF(F$382&lt;=Inputs!$C$81,Inputs!$C$78,Inputs!$C$83)</f>
        <v>0.06</v>
      </c>
      <c r="G384" s="23" t="n">
        <f aca="false">IF(G$382&lt;=Inputs!$C$81,Inputs!$C$78,Inputs!$C$83)</f>
        <v>0.06</v>
      </c>
      <c r="H384" s="23" t="n">
        <f aca="false">IF(H$382&lt;=Inputs!$C$81,Inputs!$C$78,Inputs!$C$83)</f>
        <v>0.06</v>
      </c>
      <c r="I384" s="23" t="n">
        <f aca="false">IF(I$382&lt;=Inputs!$C$81,Inputs!$C$78,Inputs!$C$83)</f>
        <v>0.06</v>
      </c>
      <c r="J384" s="23" t="n">
        <f aca="false">IF(J$382&lt;=Inputs!$C$81,Inputs!$C$78,Inputs!$C$83)</f>
        <v>0.06</v>
      </c>
      <c r="K384" s="23" t="n">
        <f aca="false">IF(K$382&lt;=Inputs!$C$81,Inputs!$C$78,Inputs!$C$83)</f>
        <v>0.06</v>
      </c>
      <c r="L384" s="23" t="n">
        <f aca="false">IF(L$382&lt;=Inputs!$C$81,Inputs!$C$78,Inputs!$C$83)</f>
        <v>0.065</v>
      </c>
      <c r="M384" s="23" t="n">
        <f aca="false">IF(M$382&lt;=Inputs!$C$81,Inputs!$C$78,Inputs!$C$83)</f>
        <v>0.065</v>
      </c>
      <c r="N384" s="23" t="n">
        <f aca="false">IF(N$382&lt;=Inputs!$C$81,Inputs!$C$78,Inputs!$C$83)</f>
        <v>0.065</v>
      </c>
    </row>
    <row r="385" customFormat="false" ht="15" hidden="false" customHeight="false" outlineLevel="0" collapsed="false">
      <c r="B385" s="9" t="s">
        <v>196</v>
      </c>
      <c r="E385" s="24" t="n">
        <f aca="false">E383*E384</f>
        <v>29.7</v>
      </c>
      <c r="F385" s="24" t="n">
        <f aca="false">F383*F384</f>
        <v>29.7</v>
      </c>
      <c r="G385" s="24" t="n">
        <f aca="false">G383*G384</f>
        <v>29.7</v>
      </c>
      <c r="H385" s="24" t="n">
        <f aca="false">H383*H384</f>
        <v>29.1586664690955</v>
      </c>
      <c r="I385" s="24" t="n">
        <f aca="false">I383*I384</f>
        <v>28.5848529263367</v>
      </c>
      <c r="J385" s="24" t="n">
        <f aca="false">J383*J384</f>
        <v>27.9766105710123</v>
      </c>
      <c r="K385" s="24" t="n">
        <f aca="false">K383*K384</f>
        <v>27.3318736743685</v>
      </c>
      <c r="L385" s="24" t="n">
        <f aca="false">L383*L384</f>
        <v>39.0230346644922</v>
      </c>
      <c r="M385" s="24" t="n">
        <f aca="false">M383*M384</f>
        <v>38.0179419555927</v>
      </c>
      <c r="N385" s="24" t="n">
        <f aca="false">N383*N384</f>
        <v>36.9475182206148</v>
      </c>
    </row>
    <row r="386" customFormat="false" ht="15" hidden="false" customHeight="false" outlineLevel="0" collapsed="false">
      <c r="B386" s="9" t="s">
        <v>197</v>
      </c>
      <c r="E386" s="24" t="n">
        <f aca="false">IF(E$382&lt;=Inputs!$C$81,IF(E$382&lt;=Inputs!$C$79,0,$C$369-E385),$C$380-E385)</f>
        <v>0</v>
      </c>
      <c r="F386" s="24" t="n">
        <f aca="false">IF(F$382&lt;=Inputs!$C$81,IF(F$382&lt;=Inputs!$C$79,0,$C$369-F385),$C$380-F385)</f>
        <v>0</v>
      </c>
      <c r="G386" s="24" t="n">
        <f aca="false">IF(G$382&lt;=Inputs!$C$81,IF(G$382&lt;=Inputs!$C$79,0,$C$369-G385),$C$380-G385)</f>
        <v>9.0222255150756</v>
      </c>
      <c r="H386" s="24" t="n">
        <f aca="false">IF(H$382&lt;=Inputs!$C$81,IF(H$382&lt;=Inputs!$C$79,0,$C$369-H385),$C$380-H385)</f>
        <v>9.56355904598014</v>
      </c>
      <c r="I386" s="24" t="n">
        <f aca="false">IF(I$382&lt;=Inputs!$C$81,IF(I$382&lt;=Inputs!$C$79,0,$C$369-I385),$C$380-I385)</f>
        <v>10.1373725887389</v>
      </c>
      <c r="J386" s="24" t="n">
        <f aca="false">IF(J$382&lt;=Inputs!$C$81,IF(J$382&lt;=Inputs!$C$79,0,$C$369-J385),$C$380-J385)</f>
        <v>10.7456149440633</v>
      </c>
      <c r="K386" s="24" t="n">
        <f aca="false">IF(K$382&lt;=Inputs!$C$81,IF(K$382&lt;=Inputs!$C$79,0,$C$369-K385),$C$380-K385)</f>
        <v>11.3903518407071</v>
      </c>
      <c r="L386" s="24" t="n">
        <f aca="false">IF(L$382&lt;=Inputs!$C$81,IF(L$382&lt;=Inputs!$C$79,0,$C$369-L385),$C$380-L385)</f>
        <v>15.4629647522998</v>
      </c>
      <c r="M386" s="24" t="n">
        <f aca="false">IF(M$382&lt;=Inputs!$C$81,IF(M$382&lt;=Inputs!$C$79,0,$C$369-M385),$C$380-M385)</f>
        <v>16.4680574611993</v>
      </c>
      <c r="N386" s="24" t="n">
        <f aca="false">IF(N$382&lt;=Inputs!$C$81,IF(N$382&lt;=Inputs!$C$79,0,$C$369-N385),$C$380-N385)</f>
        <v>17.5384811961772</v>
      </c>
    </row>
    <row r="387" customFormat="false" ht="15" hidden="false" customHeight="false" outlineLevel="0" collapsed="false">
      <c r="B387" s="29" t="s">
        <v>198</v>
      </c>
      <c r="E387" s="30" t="n">
        <f aca="false">E383-E386</f>
        <v>495</v>
      </c>
      <c r="F387" s="30" t="n">
        <f aca="false">F383-F386</f>
        <v>495</v>
      </c>
      <c r="G387" s="30" t="n">
        <f aca="false">G383-G386</f>
        <v>485.977774484924</v>
      </c>
      <c r="H387" s="30" t="n">
        <f aca="false">H383-H386</f>
        <v>476.414215438944</v>
      </c>
      <c r="I387" s="30" t="n">
        <f aca="false">I383-I386</f>
        <v>466.276842850205</v>
      </c>
      <c r="J387" s="30" t="n">
        <f aca="false">J383-J386</f>
        <v>455.531227906142</v>
      </c>
      <c r="K387" s="30" t="n">
        <f aca="false">K383-K386</f>
        <v>444.140876065435</v>
      </c>
      <c r="L387" s="30" t="n">
        <f aca="false">L383-L386</f>
        <v>584.891414701426</v>
      </c>
      <c r="M387" s="30" t="n">
        <f aca="false">M383-M386</f>
        <v>568.423357240227</v>
      </c>
      <c r="N387" s="30" t="n">
        <f aca="false">N383-N386</f>
        <v>550.88487604405</v>
      </c>
    </row>
    <row r="388" customFormat="false" ht="15" hidden="false" customHeight="false" outlineLevel="0" collapsed="false">
      <c r="B388" s="9" t="s">
        <v>199</v>
      </c>
      <c r="E388" s="24" t="n">
        <f aca="false">E385+E386</f>
        <v>29.7</v>
      </c>
      <c r="F388" s="24" t="n">
        <f aca="false">F385+F386</f>
        <v>29.7</v>
      </c>
      <c r="G388" s="24" t="n">
        <f aca="false">G385+G386</f>
        <v>38.7222255150756</v>
      </c>
      <c r="H388" s="24" t="n">
        <f aca="false">H385+H386</f>
        <v>38.7222255150756</v>
      </c>
      <c r="I388" s="24" t="n">
        <f aca="false">I385+I386</f>
        <v>38.7222255150756</v>
      </c>
      <c r="J388" s="24" t="n">
        <f aca="false">J385+J386</f>
        <v>38.7222255150756</v>
      </c>
      <c r="K388" s="24" t="n">
        <f aca="false">K385+K386</f>
        <v>38.7222255150756</v>
      </c>
      <c r="L388" s="24" t="n">
        <f aca="false">L385+L386</f>
        <v>54.485999416792</v>
      </c>
      <c r="M388" s="24" t="n">
        <f aca="false">M385+M386</f>
        <v>54.485999416792</v>
      </c>
      <c r="N388" s="24" t="n">
        <f aca="false">N385+N386</f>
        <v>54.485999416792</v>
      </c>
    </row>
    <row r="389" customFormat="false" ht="15" hidden="false" customHeight="false" outlineLevel="0" collapsed="false">
      <c r="B389" s="9" t="s">
        <v>200</v>
      </c>
      <c r="E389" s="22" t="n">
        <f aca="false">(Scenarios!E524-Scenarios!E525)/E388</f>
        <v>1.66612945454545</v>
      </c>
      <c r="F389" s="22" t="n">
        <f aca="false">(Scenarios!F524-Scenarios!F525)/F388</f>
        <v>1.71053046949495</v>
      </c>
      <c r="G389" s="22" t="n">
        <f aca="false">(Scenarios!G524-Scenarios!G525)/G388</f>
        <v>2.04570241088131</v>
      </c>
      <c r="H389" s="22" t="n">
        <f aca="false">(Scenarios!H524-Scenarios!H525)/H388</f>
        <v>2.09424485669414</v>
      </c>
      <c r="I389" s="22" t="n">
        <f aca="false">(Scenarios!I524-Scenarios!I525)/I388</f>
        <v>1.87775529626734</v>
      </c>
      <c r="J389" s="22" t="n">
        <f aca="false">(Scenarios!J524-Scenarios!J525)/J388</f>
        <v>1.90911931004442</v>
      </c>
      <c r="K389" s="22" t="n">
        <f aca="false">(Scenarios!K524-Scenarios!K525)/K388</f>
        <v>1.94095013922241</v>
      </c>
      <c r="L389" s="22" t="n">
        <f aca="false">(Scenarios!L524-Scenarios!L525)/L388</f>
        <v>1.40235546784617</v>
      </c>
      <c r="M389" s="22" t="n">
        <f aca="false">(Scenarios!M524-Scenarios!M525)/M388</f>
        <v>1.29292919087954</v>
      </c>
      <c r="N389" s="22" t="n">
        <f aca="false">(Scenarios!N524-Scenarios!N525)/N388</f>
        <v>1.31391287934297</v>
      </c>
    </row>
    <row r="390" customFormat="false" ht="15" hidden="false" customHeight="false" outlineLevel="0" collapsed="false">
      <c r="B390" s="29" t="s">
        <v>201</v>
      </c>
      <c r="C390" s="32" t="n">
        <f aca="false">MIN(I389:K389)</f>
        <v>1.87775529626734</v>
      </c>
    </row>
    <row r="392" customFormat="false" ht="15" hidden="false" customHeight="false" outlineLevel="0" collapsed="false">
      <c r="B392" s="25" t="s">
        <v>202</v>
      </c>
      <c r="C392" s="26"/>
      <c r="D392" s="26" t="n">
        <v>0</v>
      </c>
      <c r="E392" s="26" t="n">
        <v>1</v>
      </c>
      <c r="F392" s="26" t="n">
        <v>2</v>
      </c>
      <c r="G392" s="26" t="n">
        <v>3</v>
      </c>
      <c r="H392" s="26" t="n">
        <v>4</v>
      </c>
      <c r="I392" s="26" t="n">
        <v>5</v>
      </c>
      <c r="J392" s="26" t="n">
        <v>6</v>
      </c>
      <c r="K392" s="26" t="n">
        <v>7</v>
      </c>
      <c r="L392" s="26" t="n">
        <v>8</v>
      </c>
      <c r="M392" s="26" t="n">
        <v>9</v>
      </c>
      <c r="N392" s="26" t="n">
        <v>10</v>
      </c>
    </row>
    <row r="393" customFormat="false" ht="15" hidden="false" customHeight="false" outlineLevel="0" collapsed="false">
      <c r="B393" s="9" t="s">
        <v>203</v>
      </c>
      <c r="D393" s="24" t="n">
        <f aca="false">$C$368*(1-Inputs!$C$82)</f>
        <v>490.05</v>
      </c>
      <c r="E393" s="24" t="n">
        <f aca="false">-E388+IF(E$382=Inputs!$C$81,$C$379,0)</f>
        <v>-29.7</v>
      </c>
      <c r="F393" s="24" t="n">
        <f aca="false">-F388+IF(F$382=Inputs!$C$81,$C$379,0)</f>
        <v>-29.7</v>
      </c>
      <c r="G393" s="24" t="n">
        <f aca="false">-G388+IF(G$382=Inputs!$C$81,$C$379,0)</f>
        <v>-38.7222255150756</v>
      </c>
      <c r="H393" s="24" t="n">
        <f aca="false">-H388+IF(H$382=Inputs!$C$81,$C$379,0)</f>
        <v>-38.7222255150756</v>
      </c>
      <c r="I393" s="24" t="n">
        <f aca="false">-I388+IF(I$382=Inputs!$C$81,$C$379,0)</f>
        <v>-38.7222255150756</v>
      </c>
      <c r="J393" s="24" t="n">
        <f aca="false">-J388+IF(J$382=Inputs!$C$81,$C$379,0)</f>
        <v>-38.7222255150756</v>
      </c>
      <c r="K393" s="24" t="n">
        <f aca="false">-K388+IF(K$382=Inputs!$C$81,$C$379,0)</f>
        <v>111.487734078678</v>
      </c>
      <c r="L393" s="24" t="n">
        <f aca="false">-L388+IF(L$382=Inputs!$C$81,$C$379,0)</f>
        <v>-54.485999416792</v>
      </c>
      <c r="M393" s="24" t="n">
        <f aca="false">-M388+IF(M$382=Inputs!$C$81,$C$379,0)</f>
        <v>-54.485999416792</v>
      </c>
      <c r="N393" s="24" t="n">
        <f aca="false">-N388+IF(N$382=Inputs!$C$81,$C$379,0)-N387</f>
        <v>-605.370875460842</v>
      </c>
    </row>
    <row r="394" customFormat="false" ht="15" hidden="false" customHeight="false" outlineLevel="0" collapsed="false">
      <c r="B394" s="29" t="s">
        <v>202</v>
      </c>
      <c r="D394" s="30" t="n">
        <f aca="false">Scenarios!D540+D393</f>
        <v>-427.95</v>
      </c>
      <c r="E394" s="30" t="n">
        <f aca="false">Scenarios!E540+E393</f>
        <v>-64.2159552</v>
      </c>
      <c r="F394" s="30" t="n">
        <f aca="false">Scenarios!F540+F393</f>
        <v>-62.897245056</v>
      </c>
      <c r="G394" s="30" t="n">
        <f aca="false">Scenarios!G540+G393</f>
        <v>40.4919245758044</v>
      </c>
      <c r="H394" s="30" t="n">
        <f aca="false">Scenarios!H540+H393</f>
        <v>42.371596109622</v>
      </c>
      <c r="I394" s="30" t="n">
        <f aca="false">Scenarios!I540+I393</f>
        <v>33.9886385291159</v>
      </c>
      <c r="J394" s="30" t="n">
        <f aca="false">Scenarios!J540+J393</f>
        <v>35.2031229436498</v>
      </c>
      <c r="K394" s="30" t="n">
        <f aca="false">Scenarios!K540+K393</f>
        <v>186.645643083166</v>
      </c>
      <c r="L394" s="30" t="n">
        <f aca="false">Scenarios!L540+L393</f>
        <v>21.9227397864095</v>
      </c>
      <c r="M394" s="30" t="n">
        <f aca="false">Scenarios!M540+M393</f>
        <v>3.1605397234239</v>
      </c>
      <c r="N394" s="30" t="n">
        <f aca="false">Scenarios!N540+N393</f>
        <v>523.942598875252</v>
      </c>
    </row>
    <row r="395" customFormat="false" ht="15" hidden="false" customHeight="false" outlineLevel="0" collapsed="false">
      <c r="B395" s="29" t="s">
        <v>204</v>
      </c>
      <c r="C395" s="31" t="n">
        <f aca="false">IRR(D394:N394,0.08)</f>
        <v>0.0613992881908022</v>
      </c>
    </row>
    <row r="396" customFormat="false" ht="15" hidden="false" customHeight="false" outlineLevel="0" collapsed="false">
      <c r="B396" s="9" t="s">
        <v>205</v>
      </c>
      <c r="C396" s="33" t="n">
        <f aca="false">SUMIF(D394:N394,"&gt;0")/-SUMIF(D394:N394,"&lt;0")</f>
        <v>1.59932563213886</v>
      </c>
    </row>
    <row r="397" customFormat="false" ht="15" hidden="false" customHeight="false" outlineLevel="0" collapsed="false">
      <c r="B397" s="9" t="s">
        <v>206</v>
      </c>
      <c r="C397" s="24" t="n">
        <f aca="false">-D394</f>
        <v>427.95</v>
      </c>
    </row>
    <row r="401" customFormat="false" ht="15" hidden="false" customHeight="false" outlineLevel="0" collapsed="false">
      <c r="B401" s="29" t="s">
        <v>218</v>
      </c>
      <c r="C401" s="30" t="n">
        <f aca="false">-$C$82</f>
        <v>328.875846858379</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O5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8"/>
    <col collapsed="false" customWidth="true" hidden="false" outlineLevel="0" max="3" min="3" style="0" width="14"/>
    <col collapsed="false" customWidth="true" hidden="false" outlineLevel="0" max="15" min="4" style="0" width="11"/>
  </cols>
  <sheetData>
    <row r="1" customFormat="false" ht="6" hidden="false" customHeight="true" outlineLevel="0" collapsed="false"/>
    <row r="2" customFormat="false" ht="17.35" hidden="false" customHeight="false" outlineLevel="0" collapsed="false">
      <c r="B2" s="5" t="s">
        <v>219</v>
      </c>
    </row>
    <row r="3" customFormat="false" ht="15" hidden="false" customHeight="false" outlineLevel="0" collapsed="false">
      <c r="B3" s="6" t="s">
        <v>220</v>
      </c>
    </row>
    <row r="5" customFormat="false" ht="15" hidden="false" customHeight="false" outlineLevel="0" collapsed="false">
      <c r="B5" s="7" t="s">
        <v>221</v>
      </c>
      <c r="C5" s="8"/>
      <c r="D5" s="8"/>
      <c r="E5" s="8"/>
      <c r="F5" s="8"/>
      <c r="G5" s="8"/>
      <c r="H5" s="8"/>
      <c r="I5" s="8"/>
      <c r="J5" s="8"/>
      <c r="K5" s="8"/>
      <c r="L5" s="8"/>
      <c r="M5" s="8"/>
      <c r="N5" s="8"/>
      <c r="O5" s="8"/>
    </row>
    <row r="6" customFormat="false" ht="15" hidden="false" customHeight="false" outlineLevel="0" collapsed="false">
      <c r="B6" s="9" t="s">
        <v>130</v>
      </c>
      <c r="C6" s="16" t="s">
        <v>222</v>
      </c>
    </row>
    <row r="7" customFormat="false" ht="15" hidden="false" customHeight="false" outlineLevel="0" collapsed="false">
      <c r="B7" s="9" t="s">
        <v>131</v>
      </c>
      <c r="C7" s="19" t="n">
        <f aca="false">Inputs!$C$25</f>
        <v>0</v>
      </c>
    </row>
    <row r="8" customFormat="false" ht="15" hidden="false" customHeight="false" outlineLevel="0" collapsed="false">
      <c r="B8" s="9" t="s">
        <v>132</v>
      </c>
      <c r="C8" s="20" t="n">
        <f aca="false">Inputs!$C$32</f>
        <v>3</v>
      </c>
    </row>
    <row r="9" customFormat="false" ht="15" hidden="false" customHeight="false" outlineLevel="0" collapsed="false">
      <c r="B9" s="9" t="s">
        <v>133</v>
      </c>
      <c r="C9" s="13" t="n">
        <v>0</v>
      </c>
    </row>
    <row r="10" customFormat="false" ht="15" hidden="false" customHeight="false" outlineLevel="0" collapsed="false">
      <c r="B10" s="9" t="s">
        <v>134</v>
      </c>
      <c r="C10" s="21" t="n">
        <f aca="false">Inputs!$C$60</f>
        <v>0.45</v>
      </c>
    </row>
    <row r="11" customFormat="false" ht="15" hidden="false" customHeight="false" outlineLevel="0" collapsed="false">
      <c r="B11" s="9" t="s">
        <v>135</v>
      </c>
      <c r="C11" s="22" t="n">
        <f aca="false">Inputs!$C$61</f>
        <v>1.55</v>
      </c>
    </row>
    <row r="12" customFormat="false" ht="15" hidden="false" customHeight="false" outlineLevel="0" collapsed="false">
      <c r="B12" s="9" t="s">
        <v>136</v>
      </c>
      <c r="C12" s="23" t="n">
        <f aca="false">Inputs!$C$71</f>
        <v>0</v>
      </c>
    </row>
    <row r="13" customFormat="false" ht="15" hidden="false" customHeight="false" outlineLevel="0" collapsed="false">
      <c r="B13" s="9" t="s">
        <v>30</v>
      </c>
      <c r="C13" s="22" t="n">
        <f aca="false">Inputs!$C$18</f>
        <v>1.4</v>
      </c>
    </row>
    <row r="14" customFormat="false" ht="15" hidden="false" customHeight="false" outlineLevel="0" collapsed="false">
      <c r="B14" s="9" t="s">
        <v>137</v>
      </c>
      <c r="C14" s="19" t="n">
        <f aca="false">Inputs!$C$43</f>
        <v>0.9</v>
      </c>
    </row>
    <row r="15" customFormat="false" ht="15" hidden="false" customHeight="false" outlineLevel="0" collapsed="false">
      <c r="B15" s="9" t="s">
        <v>138</v>
      </c>
      <c r="C15" s="24" t="n">
        <f aca="false">Inputs!$C$49</f>
        <v>120</v>
      </c>
    </row>
    <row r="16" customFormat="false" ht="15" hidden="false" customHeight="false" outlineLevel="0" collapsed="false">
      <c r="B16" s="9" t="s">
        <v>139</v>
      </c>
      <c r="C16" s="24" t="n">
        <f aca="false">Inputs!$C$64</f>
        <v>900</v>
      </c>
    </row>
    <row r="17" customFormat="false" ht="15" hidden="false" customHeight="false" outlineLevel="0" collapsed="false">
      <c r="B17" s="9" t="s">
        <v>140</v>
      </c>
      <c r="C17" s="24" t="n">
        <f aca="false">Inputs!$C$6*1000*Inputs!$C$7*12*(1+Inputs!$C$8)^(Inputs!$C$9-1)/1000000</f>
        <v>60.8711509000706</v>
      </c>
    </row>
    <row r="18" customFormat="false" ht="15" hidden="false" customHeight="false" outlineLevel="0" collapsed="false">
      <c r="B18" s="25" t="s">
        <v>141</v>
      </c>
      <c r="C18" s="26"/>
      <c r="E18" s="26" t="n">
        <v>1</v>
      </c>
      <c r="F18" s="26" t="n">
        <v>2</v>
      </c>
      <c r="G18" s="26" t="n">
        <v>3</v>
      </c>
      <c r="H18" s="26" t="n">
        <v>4</v>
      </c>
      <c r="I18" s="26" t="n">
        <v>5</v>
      </c>
      <c r="J18" s="26" t="n">
        <v>6</v>
      </c>
      <c r="K18" s="26" t="n">
        <v>7</v>
      </c>
      <c r="L18" s="26" t="n">
        <v>8</v>
      </c>
      <c r="M18" s="26" t="n">
        <v>9</v>
      </c>
      <c r="N18" s="26" t="n">
        <v>10</v>
      </c>
      <c r="O18" s="26" t="n">
        <v>11</v>
      </c>
    </row>
    <row r="19" customFormat="false" ht="15" hidden="false" customHeight="false" outlineLevel="0" collapsed="false">
      <c r="B19" s="9" t="s">
        <v>142</v>
      </c>
      <c r="E19" s="24" t="n">
        <f aca="false">IF(E$18&lt;=Inputs!$C$22,Inputs!$C$21,Inputs!$C$23*(1+Inputs!$C$24)^(E$18-5)*IF(AND($C$7&lt;&gt;0,E$18&gt;=Inputs!$C$26),1+$C$7,1))</f>
        <v>61</v>
      </c>
      <c r="F19" s="24" t="n">
        <f aca="false">IF(F$18&lt;=Inputs!$C$22,Inputs!$C$21,Inputs!$C$23*(1+Inputs!$C$24)^(F$18-5)*IF(AND($C$7&lt;&gt;0,F$18&gt;=Inputs!$C$26),1+$C$7,1))</f>
        <v>61</v>
      </c>
      <c r="G19" s="24" t="n">
        <f aca="false">IF(G$18&lt;=Inputs!$C$22,Inputs!$C$21,Inputs!$C$23*(1+Inputs!$C$24)^(G$18-5)*IF(AND($C$7&lt;&gt;0,G$18&gt;=Inputs!$C$26),1+$C$7,1))</f>
        <v>61</v>
      </c>
      <c r="H19" s="24" t="n">
        <f aca="false">IF(H$18&lt;=Inputs!$C$22,Inputs!$C$21,Inputs!$C$23*(1+Inputs!$C$24)^(H$18-5)*IF(AND($C$7&lt;&gt;0,H$18&gt;=Inputs!$C$26),1+$C$7,1))</f>
        <v>61</v>
      </c>
      <c r="I19" s="24" t="n">
        <f aca="false">IF(I$18&lt;=Inputs!$C$22,Inputs!$C$21,Inputs!$C$23*(1+Inputs!$C$24)^(I$18-5)*IF(AND($C$7&lt;&gt;0,I$18&gt;=Inputs!$C$26),1+$C$7,1))</f>
        <v>67</v>
      </c>
      <c r="J19" s="24" t="n">
        <f aca="false">IF(J$18&lt;=Inputs!$C$22,Inputs!$C$21,Inputs!$C$23*(1+Inputs!$C$24)^(J$18-5)*IF(AND($C$7&lt;&gt;0,J$18&gt;=Inputs!$C$26),1+$C$7,1))</f>
        <v>68.675</v>
      </c>
      <c r="K19" s="24" t="n">
        <f aca="false">IF(K$18&lt;=Inputs!$C$22,Inputs!$C$21,Inputs!$C$23*(1+Inputs!$C$24)^(K$18-5)*IF(AND($C$7&lt;&gt;0,K$18&gt;=Inputs!$C$26),1+$C$7,1))</f>
        <v>70.391875</v>
      </c>
      <c r="L19" s="24" t="n">
        <f aca="false">IF(L$18&lt;=Inputs!$C$22,Inputs!$C$21,Inputs!$C$23*(1+Inputs!$C$24)^(L$18-5)*IF(AND($C$7&lt;&gt;0,L$18&gt;=Inputs!$C$26),1+$C$7,1))</f>
        <v>72.151671875</v>
      </c>
      <c r="M19" s="24" t="n">
        <f aca="false">IF(M$18&lt;=Inputs!$C$22,Inputs!$C$21,Inputs!$C$23*(1+Inputs!$C$24)^(M$18-5)*IF(AND($C$7&lt;&gt;0,M$18&gt;=Inputs!$C$26),1+$C$7,1))</f>
        <v>73.955463671875</v>
      </c>
      <c r="N19" s="24" t="n">
        <f aca="false">IF(N$18&lt;=Inputs!$C$22,Inputs!$C$21,Inputs!$C$23*(1+Inputs!$C$24)^(N$18-5)*IF(AND($C$7&lt;&gt;0,N$18&gt;=Inputs!$C$26),1+$C$7,1))</f>
        <v>75.8043502636718</v>
      </c>
      <c r="O19" s="24" t="n">
        <f aca="false">IF(O$18&lt;=Inputs!$C$22,Inputs!$C$21,Inputs!$C$23*(1+Inputs!$C$24)^(O$18-5)*IF(AND($C$7&lt;&gt;0,O$18&gt;=Inputs!$C$26),1+$C$7,1))</f>
        <v>77.6994590202636</v>
      </c>
    </row>
    <row r="20" customFormat="false" ht="15" hidden="false" customHeight="false" outlineLevel="0" collapsed="false">
      <c r="B20" s="9" t="s">
        <v>143</v>
      </c>
      <c r="E20" s="24" t="n">
        <f aca="false">Inputs!$C$19*(1+Inputs!$C$20)^(E$18-1)</f>
        <v>74</v>
      </c>
      <c r="F20" s="24" t="n">
        <f aca="false">Inputs!$C$19*(1+Inputs!$C$20)^(F$18-1)</f>
        <v>75.48</v>
      </c>
      <c r="G20" s="24" t="n">
        <f aca="false">Inputs!$C$19*(1+Inputs!$C$20)^(G$18-1)</f>
        <v>76.9896</v>
      </c>
      <c r="H20" s="24" t="n">
        <f aca="false">Inputs!$C$19*(1+Inputs!$C$20)^(H$18-1)</f>
        <v>78.529392</v>
      </c>
      <c r="I20" s="24" t="n">
        <f aca="false">Inputs!$C$19*(1+Inputs!$C$20)^(I$18-1)</f>
        <v>80.09997984</v>
      </c>
      <c r="J20" s="24" t="n">
        <f aca="false">Inputs!$C$19*(1+Inputs!$C$20)^(J$18-1)</f>
        <v>81.7019794368</v>
      </c>
      <c r="K20" s="24" t="n">
        <f aca="false">Inputs!$C$19*(1+Inputs!$C$20)^(K$18-1)</f>
        <v>83.336019025536</v>
      </c>
      <c r="L20" s="24" t="n">
        <f aca="false">Inputs!$C$19*(1+Inputs!$C$20)^(L$18-1)</f>
        <v>85.0027394060467</v>
      </c>
      <c r="M20" s="24" t="n">
        <f aca="false">Inputs!$C$19*(1+Inputs!$C$20)^(M$18-1)</f>
        <v>86.7027941941677</v>
      </c>
      <c r="N20" s="24" t="n">
        <f aca="false">Inputs!$C$19*(1+Inputs!$C$20)^(N$18-1)</f>
        <v>88.436850078051</v>
      </c>
      <c r="O20" s="24" t="n">
        <f aca="false">Inputs!$C$19*(1+Inputs!$C$20)^(O$18-1)</f>
        <v>90.205587079612</v>
      </c>
    </row>
    <row r="21" customFormat="false" ht="15" hidden="false" customHeight="false" outlineLevel="0" collapsed="false">
      <c r="B21" s="9" t="s">
        <v>144</v>
      </c>
      <c r="E21" s="27" t="n">
        <f aca="false">(1+Inputs!$C$11)^(E$18-1)</f>
        <v>1</v>
      </c>
      <c r="F21" s="27" t="n">
        <f aca="false">(1+Inputs!$C$11)^(F$18-1)</f>
        <v>1.03</v>
      </c>
      <c r="G21" s="27" t="n">
        <f aca="false">(1+Inputs!$C$11)^(G$18-1)</f>
        <v>1.0609</v>
      </c>
      <c r="H21" s="27" t="n">
        <f aca="false">(1+Inputs!$C$11)^(H$18-1)</f>
        <v>1.092727</v>
      </c>
      <c r="I21" s="27" t="n">
        <f aca="false">(1+Inputs!$C$11)^(I$18-1)</f>
        <v>1.12550881</v>
      </c>
      <c r="J21" s="27" t="n">
        <f aca="false">(1+Inputs!$C$11)^(J$18-1)</f>
        <v>1.1592740743</v>
      </c>
      <c r="K21" s="27" t="n">
        <f aca="false">(1+Inputs!$C$11)^(K$18-1)</f>
        <v>1.194052296529</v>
      </c>
      <c r="L21" s="27" t="n">
        <f aca="false">(1+Inputs!$C$11)^(L$18-1)</f>
        <v>1.22987386542487</v>
      </c>
      <c r="M21" s="27" t="n">
        <f aca="false">(1+Inputs!$C$11)^(M$18-1)</f>
        <v>1.26677008138762</v>
      </c>
      <c r="N21" s="27" t="n">
        <f aca="false">(1+Inputs!$C$11)^(N$18-1)</f>
        <v>1.30477318382925</v>
      </c>
      <c r="O21" s="27" t="n">
        <f aca="false">(1+Inputs!$C$11)^(O$18-1)</f>
        <v>1.34391637934412</v>
      </c>
    </row>
    <row r="22" customFormat="false" ht="15" hidden="false" customHeight="false" outlineLevel="0" collapsed="false">
      <c r="B22" s="9" t="s">
        <v>145</v>
      </c>
      <c r="E22" s="19" t="n">
        <f aca="false">IF(OR(E$18&lt;=Inputs!$C$9,$C$6="renew"),IF(AND($C$9&gt;0,E$18&gt;=$C$9),$C$10,Inputs!$C$16),IF($C$6="stranded",0,Inputs!$C$16))</f>
        <v>0.8</v>
      </c>
      <c r="F22" s="19" t="n">
        <f aca="false">IF(OR(F$18&lt;=Inputs!$C$9,$C$6="renew"),IF(AND($C$9&gt;0,F$18&gt;=$C$9),$C$10,Inputs!$C$16),IF($C$6="stranded",0,Inputs!$C$16))</f>
        <v>0.8</v>
      </c>
      <c r="G22" s="19" t="n">
        <f aca="false">IF(OR(G$18&lt;=Inputs!$C$9,$C$6="renew"),IF(AND($C$9&gt;0,G$18&gt;=$C$9),$C$10,Inputs!$C$16),IF($C$6="stranded",0,Inputs!$C$16))</f>
        <v>0.8</v>
      </c>
      <c r="H22" s="19" t="n">
        <f aca="false">IF(OR(H$18&lt;=Inputs!$C$9,$C$6="renew"),IF(AND($C$9&gt;0,H$18&gt;=$C$9),$C$10,Inputs!$C$16),IF($C$6="stranded",0,Inputs!$C$16))</f>
        <v>0.8</v>
      </c>
      <c r="I22" s="19" t="n">
        <f aca="false">IF(OR(I$18&lt;=Inputs!$C$9,$C$6="renew"),IF(AND($C$9&gt;0,I$18&gt;=$C$9),$C$10,Inputs!$C$16),IF($C$6="stranded",0,Inputs!$C$16))</f>
        <v>0.8</v>
      </c>
      <c r="J22" s="19" t="n">
        <f aca="false">IF(OR(J$18&lt;=Inputs!$C$9,$C$6="renew"),IF(AND($C$9&gt;0,J$18&gt;=$C$9),$C$10,Inputs!$C$16),IF($C$6="stranded",0,Inputs!$C$16))</f>
        <v>0.8</v>
      </c>
      <c r="K22" s="19" t="n">
        <f aca="false">IF(OR(K$18&lt;=Inputs!$C$9,$C$6="renew"),IF(AND($C$9&gt;0,K$18&gt;=$C$9),$C$10,Inputs!$C$16),IF($C$6="stranded",0,Inputs!$C$16))</f>
        <v>0.8</v>
      </c>
      <c r="L22" s="19" t="n">
        <f aca="false">IF(OR(L$18&lt;=Inputs!$C$9,$C$6="renew"),IF(AND($C$9&gt;0,L$18&gt;=$C$9),$C$10,Inputs!$C$16),IF($C$6="stranded",0,Inputs!$C$16))</f>
        <v>0.8</v>
      </c>
      <c r="M22" s="19" t="n">
        <f aca="false">IF(OR(M$18&lt;=Inputs!$C$9,$C$6="renew"),IF(AND($C$9&gt;0,M$18&gt;=$C$9),$C$10,Inputs!$C$16),IF($C$6="stranded",0,Inputs!$C$16))</f>
        <v>0.8</v>
      </c>
      <c r="N22" s="19" t="n">
        <f aca="false">IF(OR(N$18&lt;=Inputs!$C$9,$C$6="renew"),IF(AND($C$9&gt;0,N$18&gt;=$C$9),$C$10,Inputs!$C$16),IF($C$6="stranded",0,Inputs!$C$16))</f>
        <v>0.8</v>
      </c>
      <c r="O22" s="19" t="n">
        <f aca="false">IF(OR(O$18&lt;=Inputs!$C$9,$C$6="renew"),IF(AND($C$9&gt;0,O$18&gt;=$C$9),$C$10,Inputs!$C$16),IF($C$6="stranded",0,Inputs!$C$16))</f>
        <v>0.8</v>
      </c>
    </row>
    <row r="23" customFormat="false" ht="15" hidden="false" customHeight="false" outlineLevel="0" collapsed="false">
      <c r="B23" s="9" t="s">
        <v>146</v>
      </c>
      <c r="E23" s="22" t="n">
        <f aca="false">IF(OR(E$18&lt;=Inputs!$C$9,$C$6="renew"),IF(AND($C$9&gt;0,E$18&gt;=$C$9),$C$11,$C$13),IF($C$6="retrofit",Inputs!$C$47,IF($C$6="relet",Inputs!$C$53,0)))</f>
        <v>1.4</v>
      </c>
      <c r="F23" s="22" t="n">
        <f aca="false">IF(OR(F$18&lt;=Inputs!$C$9,$C$6="renew"),IF(AND($C$9&gt;0,F$18&gt;=$C$9),$C$11,$C$13),IF($C$6="retrofit",Inputs!$C$47,IF($C$6="relet",Inputs!$C$53,0)))</f>
        <v>1.4</v>
      </c>
      <c r="G23" s="22" t="n">
        <f aca="false">IF(OR(G$18&lt;=Inputs!$C$9,$C$6="renew"),IF(AND($C$9&gt;0,G$18&gt;=$C$9),$C$11,$C$13),IF($C$6="retrofit",Inputs!$C$47,IF($C$6="relet",Inputs!$C$53,0)))</f>
        <v>1.4</v>
      </c>
      <c r="H23" s="22" t="n">
        <f aca="false">IF(OR(H$18&lt;=Inputs!$C$9,$C$6="renew"),IF(AND($C$9&gt;0,H$18&gt;=$C$9),$C$11,$C$13),IF($C$6="retrofit",Inputs!$C$47,IF($C$6="relet",Inputs!$C$53,0)))</f>
        <v>1.4</v>
      </c>
      <c r="I23" s="22" t="n">
        <f aca="false">IF(OR(I$18&lt;=Inputs!$C$9,$C$6="renew"),IF(AND($C$9&gt;0,I$18&gt;=$C$9),$C$11,$C$13),IF($C$6="retrofit",Inputs!$C$47,IF($C$6="relet",Inputs!$C$53,0)))</f>
        <v>1.4</v>
      </c>
      <c r="J23" s="22" t="n">
        <f aca="false">IF(OR(J$18&lt;=Inputs!$C$9,$C$6="renew"),IF(AND($C$9&gt;0,J$18&gt;=$C$9),$C$11,$C$13),IF($C$6="retrofit",Inputs!$C$47,IF($C$6="relet",Inputs!$C$53,0)))</f>
        <v>1.4</v>
      </c>
      <c r="K23" s="22" t="n">
        <f aca="false">IF(OR(K$18&lt;=Inputs!$C$9,$C$6="renew"),IF(AND($C$9&gt;0,K$18&gt;=$C$9),$C$11,$C$13),IF($C$6="retrofit",Inputs!$C$47,IF($C$6="relet",Inputs!$C$53,0)))</f>
        <v>1.4</v>
      </c>
      <c r="L23" s="22" t="n">
        <f aca="false">IF(OR(L$18&lt;=Inputs!$C$9,$C$6="renew"),IF(AND($C$9&gt;0,L$18&gt;=$C$9),$C$11,$C$13),IF($C$6="retrofit",Inputs!$C$47,IF($C$6="relet",Inputs!$C$53,0)))</f>
        <v>1.4</v>
      </c>
      <c r="M23" s="22" t="n">
        <f aca="false">IF(OR(M$18&lt;=Inputs!$C$9,$C$6="renew"),IF(AND($C$9&gt;0,M$18&gt;=$C$9),$C$11,$C$13),IF($C$6="retrofit",Inputs!$C$47,IF($C$6="relet",Inputs!$C$53,0)))</f>
        <v>1.2</v>
      </c>
      <c r="N23" s="22" t="n">
        <f aca="false">IF(OR(N$18&lt;=Inputs!$C$9,$C$6="renew"),IF(AND($C$9&gt;0,N$18&gt;=$C$9),$C$11,$C$13),IF($C$6="retrofit",Inputs!$C$47,IF($C$6="relet",Inputs!$C$53,0)))</f>
        <v>1.2</v>
      </c>
      <c r="O23" s="22" t="n">
        <f aca="false">IF(OR(O$18&lt;=Inputs!$C$9,$C$6="renew"),IF(AND($C$9&gt;0,O$18&gt;=$C$9),$C$11,$C$13),IF($C$6="retrofit",Inputs!$C$47,IF($C$6="relet",Inputs!$C$53,0)))</f>
        <v>1.2</v>
      </c>
    </row>
    <row r="24" customFormat="false" ht="15" hidden="false" customHeight="false" outlineLevel="0" collapsed="false">
      <c r="B24" s="9" t="s">
        <v>147</v>
      </c>
      <c r="E24" s="21" t="n">
        <f aca="false">IF(OR(E$18&lt;=Inputs!$C$9,$C$6="renew"),1,IF($C$6="retrofit",IF(E$18-Inputs!$C$9=1,0,1),IF($C$6="relet",CHOOSE(MIN(E$18-Inputs!$C$9,3),Inputs!$C$50,Inputs!$C$51,Inputs!$C$52),0)))</f>
        <v>1</v>
      </c>
      <c r="F24" s="21" t="n">
        <f aca="false">IF(OR(F$18&lt;=Inputs!$C$9,$C$6="renew"),1,IF($C$6="retrofit",IF(F$18-Inputs!$C$9=1,0,1),IF($C$6="relet",CHOOSE(MIN(F$18-Inputs!$C$9,3),Inputs!$C$50,Inputs!$C$51,Inputs!$C$52),0)))</f>
        <v>1</v>
      </c>
      <c r="G24" s="21" t="n">
        <f aca="false">IF(OR(G$18&lt;=Inputs!$C$9,$C$6="renew"),1,IF($C$6="retrofit",IF(G$18-Inputs!$C$9=1,0,1),IF($C$6="relet",CHOOSE(MIN(G$18-Inputs!$C$9,3),Inputs!$C$50,Inputs!$C$51,Inputs!$C$52),0)))</f>
        <v>1</v>
      </c>
      <c r="H24" s="21" t="n">
        <f aca="false">IF(OR(H$18&lt;=Inputs!$C$9,$C$6="renew"),1,IF($C$6="retrofit",IF(H$18-Inputs!$C$9=1,0,1),IF($C$6="relet",CHOOSE(MIN(H$18-Inputs!$C$9,3),Inputs!$C$50,Inputs!$C$51,Inputs!$C$52),0)))</f>
        <v>1</v>
      </c>
      <c r="I24" s="21" t="n">
        <f aca="false">IF(OR(I$18&lt;=Inputs!$C$9,$C$6="renew"),1,IF($C$6="retrofit",IF(I$18-Inputs!$C$9=1,0,1),IF($C$6="relet",CHOOSE(MIN(I$18-Inputs!$C$9,3),Inputs!$C$50,Inputs!$C$51,Inputs!$C$52),0)))</f>
        <v>1</v>
      </c>
      <c r="J24" s="21" t="n">
        <f aca="false">IF(OR(J$18&lt;=Inputs!$C$9,$C$6="renew"),1,IF($C$6="retrofit",IF(J$18-Inputs!$C$9=1,0,1),IF($C$6="relet",CHOOSE(MIN(J$18-Inputs!$C$9,3),Inputs!$C$50,Inputs!$C$51,Inputs!$C$52),0)))</f>
        <v>1</v>
      </c>
      <c r="K24" s="21" t="n">
        <f aca="false">IF(OR(K$18&lt;=Inputs!$C$9,$C$6="renew"),1,IF($C$6="retrofit",IF(K$18-Inputs!$C$9=1,0,1),IF($C$6="relet",CHOOSE(MIN(K$18-Inputs!$C$9,3),Inputs!$C$50,Inputs!$C$51,Inputs!$C$52),0)))</f>
        <v>1</v>
      </c>
      <c r="L24" s="21" t="n">
        <f aca="false">IF(OR(L$18&lt;=Inputs!$C$9,$C$6="renew"),1,IF($C$6="retrofit",IF(L$18-Inputs!$C$9=1,0,1),IF($C$6="relet",CHOOSE(MIN(L$18-Inputs!$C$9,3),Inputs!$C$50,Inputs!$C$51,Inputs!$C$52),0)))</f>
        <v>1</v>
      </c>
      <c r="M24" s="21" t="n">
        <f aca="false">IF(OR(M$18&lt;=Inputs!$C$9,$C$6="renew"),1,IF($C$6="retrofit",IF(M$18-Inputs!$C$9=1,0,1),IF($C$6="relet",CHOOSE(MIN(M$18-Inputs!$C$9,3),Inputs!$C$50,Inputs!$C$51,Inputs!$C$52),0)))</f>
        <v>0</v>
      </c>
      <c r="N24" s="21" t="n">
        <f aca="false">IF(OR(N$18&lt;=Inputs!$C$9,$C$6="renew"),1,IF($C$6="retrofit",IF(N$18-Inputs!$C$9=1,0,1),IF($C$6="relet",CHOOSE(MIN(N$18-Inputs!$C$9,3),Inputs!$C$50,Inputs!$C$51,Inputs!$C$52),0)))</f>
        <v>1</v>
      </c>
      <c r="O24" s="21" t="n">
        <f aca="false">IF(OR(O$18&lt;=Inputs!$C$9,$C$6="renew"),1,IF($C$6="retrofit",IF(O$18-Inputs!$C$9=1,0,1),IF($C$6="relet",CHOOSE(MIN(O$18-Inputs!$C$9,3),Inputs!$C$50,Inputs!$C$51,Inputs!$C$52),0)))</f>
        <v>1</v>
      </c>
    </row>
    <row r="25" customFormat="false" ht="15" hidden="false" customHeight="false" outlineLevel="0" collapsed="false">
      <c r="B25" s="9" t="s">
        <v>148</v>
      </c>
      <c r="E25" s="28" t="n">
        <f aca="false">Inputs!$C$6*1000*E22*E24*8760/1000</f>
        <v>224256</v>
      </c>
      <c r="F25" s="28" t="n">
        <f aca="false">Inputs!$C$6*1000*F22*F24*8760/1000</f>
        <v>224256</v>
      </c>
      <c r="G25" s="28" t="n">
        <f aca="false">Inputs!$C$6*1000*G22*G24*8760/1000</f>
        <v>224256</v>
      </c>
      <c r="H25" s="28" t="n">
        <f aca="false">Inputs!$C$6*1000*H22*H24*8760/1000</f>
        <v>224256</v>
      </c>
      <c r="I25" s="28" t="n">
        <f aca="false">Inputs!$C$6*1000*I22*I24*8760/1000</f>
        <v>224256</v>
      </c>
      <c r="J25" s="28" t="n">
        <f aca="false">Inputs!$C$6*1000*J22*J24*8760/1000</f>
        <v>224256</v>
      </c>
      <c r="K25" s="28" t="n">
        <f aca="false">Inputs!$C$6*1000*K22*K24*8760/1000</f>
        <v>224256</v>
      </c>
      <c r="L25" s="28" t="n">
        <f aca="false">Inputs!$C$6*1000*L22*L24*8760/1000</f>
        <v>224256</v>
      </c>
      <c r="M25" s="28" t="n">
        <f aca="false">Inputs!$C$6*1000*M22*M24*8760/1000</f>
        <v>0</v>
      </c>
      <c r="N25" s="28" t="n">
        <f aca="false">Inputs!$C$6*1000*N22*N24*8760/1000</f>
        <v>224256</v>
      </c>
      <c r="O25" s="28" t="n">
        <f aca="false">Inputs!$C$6*1000*O22*O24*8760/1000</f>
        <v>224256</v>
      </c>
    </row>
    <row r="26" customFormat="false" ht="15" hidden="false" customHeight="false" outlineLevel="0" collapsed="false">
      <c r="B26" s="9" t="s">
        <v>149</v>
      </c>
      <c r="E26" s="24" t="n">
        <f aca="false">IF(E$18&lt;=Inputs!$C$9,Inputs!$C$6*1000*Inputs!$C$7*12*(1+Inputs!$C$8)^(E$18-1)/1000000,IF($C$6="renew",$C$17*$C$14*(1+Inputs!$C$8)^(E$18-Inputs!$C$9-1),IF($C$6="retrofit",IF(E$18-Inputs!$C$9=1,0,Inputs!$C$6*1000*Inputs!$C$46*12*(1+Inputs!$C$8)^(E$18-Inputs!$C$9-2)/1000000),IF($C$6="relet",Inputs!$C$6*1000*E24*$C$15*12*(1+Inputs!$C$8)^(E$18-Inputs!$C$9-2)/1000000,0))))</f>
        <v>52.992</v>
      </c>
      <c r="F26" s="24" t="n">
        <f aca="false">IF(F$18&lt;=Inputs!$C$9,Inputs!$C$6*1000*Inputs!$C$7*12*(1+Inputs!$C$8)^(F$18-1)/1000000,IF($C$6="renew",$C$17*$C$14*(1+Inputs!$C$8)^(F$18-Inputs!$C$9-1),IF($C$6="retrofit",IF(F$18-Inputs!$C$9=1,0,Inputs!$C$6*1000*Inputs!$C$46*12*(1+Inputs!$C$8)^(F$18-Inputs!$C$9-2)/1000000),IF($C$6="relet",Inputs!$C$6*1000*F24*$C$15*12*(1+Inputs!$C$8)^(F$18-Inputs!$C$9-2)/1000000,0))))</f>
        <v>54.05184</v>
      </c>
      <c r="G26" s="24" t="n">
        <f aca="false">IF(G$18&lt;=Inputs!$C$9,Inputs!$C$6*1000*Inputs!$C$7*12*(1+Inputs!$C$8)^(G$18-1)/1000000,IF($C$6="renew",$C$17*$C$14*(1+Inputs!$C$8)^(G$18-Inputs!$C$9-1),IF($C$6="retrofit",IF(G$18-Inputs!$C$9=1,0,Inputs!$C$6*1000*Inputs!$C$46*12*(1+Inputs!$C$8)^(G$18-Inputs!$C$9-2)/1000000),IF($C$6="relet",Inputs!$C$6*1000*G24*$C$15*12*(1+Inputs!$C$8)^(G$18-Inputs!$C$9-2)/1000000,0))))</f>
        <v>55.1328768</v>
      </c>
      <c r="H26" s="24" t="n">
        <f aca="false">IF(H$18&lt;=Inputs!$C$9,Inputs!$C$6*1000*Inputs!$C$7*12*(1+Inputs!$C$8)^(H$18-1)/1000000,IF($C$6="renew",$C$17*$C$14*(1+Inputs!$C$8)^(H$18-Inputs!$C$9-1),IF($C$6="retrofit",IF(H$18-Inputs!$C$9=1,0,Inputs!$C$6*1000*Inputs!$C$46*12*(1+Inputs!$C$8)^(H$18-Inputs!$C$9-2)/1000000),IF($C$6="relet",Inputs!$C$6*1000*H24*$C$15*12*(1+Inputs!$C$8)^(H$18-Inputs!$C$9-2)/1000000,0))))</f>
        <v>56.235534336</v>
      </c>
      <c r="I26" s="24" t="n">
        <f aca="false">IF(I$18&lt;=Inputs!$C$9,Inputs!$C$6*1000*Inputs!$C$7*12*(1+Inputs!$C$8)^(I$18-1)/1000000,IF($C$6="renew",$C$17*$C$14*(1+Inputs!$C$8)^(I$18-Inputs!$C$9-1),IF($C$6="retrofit",IF(I$18-Inputs!$C$9=1,0,Inputs!$C$6*1000*Inputs!$C$46*12*(1+Inputs!$C$8)^(I$18-Inputs!$C$9-2)/1000000),IF($C$6="relet",Inputs!$C$6*1000*I24*$C$15*12*(1+Inputs!$C$8)^(I$18-Inputs!$C$9-2)/1000000,0))))</f>
        <v>57.36024502272</v>
      </c>
      <c r="J26" s="24" t="n">
        <f aca="false">IF(J$18&lt;=Inputs!$C$9,Inputs!$C$6*1000*Inputs!$C$7*12*(1+Inputs!$C$8)^(J$18-1)/1000000,IF($C$6="renew",$C$17*$C$14*(1+Inputs!$C$8)^(J$18-Inputs!$C$9-1),IF($C$6="retrofit",IF(J$18-Inputs!$C$9=1,0,Inputs!$C$6*1000*Inputs!$C$46*12*(1+Inputs!$C$8)^(J$18-Inputs!$C$9-2)/1000000),IF($C$6="relet",Inputs!$C$6*1000*J24*$C$15*12*(1+Inputs!$C$8)^(J$18-Inputs!$C$9-2)/1000000,0))))</f>
        <v>58.5074499231744</v>
      </c>
      <c r="K26" s="24" t="n">
        <f aca="false">IF(K$18&lt;=Inputs!$C$9,Inputs!$C$6*1000*Inputs!$C$7*12*(1+Inputs!$C$8)^(K$18-1)/1000000,IF($C$6="renew",$C$17*$C$14*(1+Inputs!$C$8)^(K$18-Inputs!$C$9-1),IF($C$6="retrofit",IF(K$18-Inputs!$C$9=1,0,Inputs!$C$6*1000*Inputs!$C$46*12*(1+Inputs!$C$8)^(K$18-Inputs!$C$9-2)/1000000),IF($C$6="relet",Inputs!$C$6*1000*K24*$C$15*12*(1+Inputs!$C$8)^(K$18-Inputs!$C$9-2)/1000000,0))))</f>
        <v>59.6775989216379</v>
      </c>
      <c r="L26" s="24" t="n">
        <f aca="false">IF(L$18&lt;=Inputs!$C$9,Inputs!$C$6*1000*Inputs!$C$7*12*(1+Inputs!$C$8)^(L$18-1)/1000000,IF($C$6="renew",$C$17*$C$14*(1+Inputs!$C$8)^(L$18-Inputs!$C$9-1),IF($C$6="retrofit",IF(L$18-Inputs!$C$9=1,0,Inputs!$C$6*1000*Inputs!$C$46*12*(1+Inputs!$C$8)^(L$18-Inputs!$C$9-2)/1000000),IF($C$6="relet",Inputs!$C$6*1000*L24*$C$15*12*(1+Inputs!$C$8)^(L$18-Inputs!$C$9-2)/1000000,0))))</f>
        <v>60.8711509000706</v>
      </c>
      <c r="M26" s="24" t="n">
        <f aca="false">IF(M$18&lt;=Inputs!$C$9,Inputs!$C$6*1000*Inputs!$C$7*12*(1+Inputs!$C$8)^(M$18-1)/1000000,IF($C$6="renew",$C$17*$C$14*(1+Inputs!$C$8)^(M$18-Inputs!$C$9-1),IF($C$6="retrofit",IF(M$18-Inputs!$C$9=1,0,Inputs!$C$6*1000*Inputs!$C$46*12*(1+Inputs!$C$8)^(M$18-Inputs!$C$9-2)/1000000),IF($C$6="relet",Inputs!$C$6*1000*M24*$C$15*12*(1+Inputs!$C$8)^(M$18-Inputs!$C$9-2)/1000000,0))))</f>
        <v>0</v>
      </c>
      <c r="N26" s="24" t="n">
        <f aca="false">IF(N$18&lt;=Inputs!$C$9,Inputs!$C$6*1000*Inputs!$C$7*12*(1+Inputs!$C$8)^(N$18-1)/1000000,IF($C$6="renew",$C$17*$C$14*(1+Inputs!$C$8)^(N$18-Inputs!$C$9-1),IF($C$6="retrofit",IF(N$18-Inputs!$C$9=1,0,Inputs!$C$6*1000*Inputs!$C$46*12*(1+Inputs!$C$8)^(N$18-Inputs!$C$9-2)/1000000),IF($C$6="relet",Inputs!$C$6*1000*N24*$C$15*12*(1+Inputs!$C$8)^(N$18-Inputs!$C$9-2)/1000000,0))))</f>
        <v>64.512</v>
      </c>
      <c r="O26" s="24" t="n">
        <f aca="false">IF(O$18&lt;=Inputs!$C$9,Inputs!$C$6*1000*Inputs!$C$7*12*(1+Inputs!$C$8)^(O$18-1)/1000000,IF($C$6="renew",$C$17*$C$14*(1+Inputs!$C$8)^(O$18-Inputs!$C$9-1),IF($C$6="retrofit",IF(O$18-Inputs!$C$9=1,0,Inputs!$C$6*1000*Inputs!$C$46*12*(1+Inputs!$C$8)^(O$18-Inputs!$C$9-2)/1000000),IF($C$6="relet",Inputs!$C$6*1000*O24*$C$15*12*(1+Inputs!$C$8)^(O$18-Inputs!$C$9-2)/1000000,0))))</f>
        <v>65.80224</v>
      </c>
    </row>
    <row r="27" customFormat="false" ht="15" hidden="false" customHeight="false" outlineLevel="0" collapsed="false">
      <c r="B27" s="9" t="s">
        <v>150</v>
      </c>
      <c r="E27" s="24" t="n">
        <f aca="false">IF(OR(E$18&lt;=Inputs!$C$9,$C$6="renew"),E25*(Inputs!$C$17*E20-E23*E19)/1000000,E25*E23*Inputs!$C$27/1000000)</f>
        <v>2.4219648</v>
      </c>
      <c r="F27" s="24" t="n">
        <f aca="false">IF(OR(F$18&lt;=Inputs!$C$9,$C$6="renew"),F25*(Inputs!$C$17*F20-F23*F19)/1000000,F25*F23*Inputs!$C$27/1000000)</f>
        <v>2.853433344</v>
      </c>
      <c r="G27" s="24" t="n">
        <f aca="false">IF(OR(G$18&lt;=Inputs!$C$9,$C$6="renew"),G25*(Inputs!$C$17*G20-G23*G19)/1000000,G25*G23*Inputs!$C$27/1000000)</f>
        <v>3.29353125888</v>
      </c>
      <c r="H27" s="24" t="n">
        <f aca="false">IF(OR(H$18&lt;=Inputs!$C$9,$C$6="renew"),H25*(Inputs!$C$17*H20-H23*H19)/1000000,H25*H23*Inputs!$C$27/1000000)</f>
        <v>3.74243113205761</v>
      </c>
      <c r="I27" s="24" t="n">
        <f aca="false">IF(OR(I$18&lt;=Inputs!$C$9,$C$6="renew"),I25*(Inputs!$C$17*I20-I23*I19)/1000000,I25*I23*Inputs!$C$27/1000000)</f>
        <v>2.31655860269875</v>
      </c>
      <c r="J27" s="24" t="n">
        <f aca="false">IF(OR(J$18&lt;=Inputs!$C$9,$C$6="renew"),J25*(Inputs!$C$17*J20-J23*J19)/1000000,J25*J23*Inputs!$C$27/1000000)</f>
        <v>2.25771371075273</v>
      </c>
      <c r="K27" s="24" t="n">
        <f aca="false">IF(OR(K$18&lt;=Inputs!$C$9,$C$6="renew"),K25*(Inputs!$C$17*K20-K23*K19)/1000000,K25*K23*Inputs!$C$27/1000000)</f>
        <v>2.19506251936779</v>
      </c>
      <c r="L27" s="24" t="n">
        <f aca="false">IF(OR(L$18&lt;=Inputs!$C$9,$C$6="renew"),L25*(Inputs!$C$17*L20-L23*L19)/1000000,L25*L23*Inputs!$C$27/1000000)</f>
        <v>2.12846316751515</v>
      </c>
      <c r="M27" s="24" t="n">
        <f aca="false">IF(OR(M$18&lt;=Inputs!$C$9,$C$6="renew"),M25*(Inputs!$C$17*M20-M23*M19)/1000000,M25*M23*Inputs!$C$27/1000000)</f>
        <v>0</v>
      </c>
      <c r="N27" s="24" t="n">
        <f aca="false">IF(OR(N$18&lt;=Inputs!$C$9,$C$6="renew"),N25*(Inputs!$C$17*N20-N23*N19)/1000000,N25*N23*Inputs!$C$27/1000000)</f>
        <v>0.8073216</v>
      </c>
      <c r="O27" s="24" t="n">
        <f aca="false">IF(OR(O$18&lt;=Inputs!$C$9,$C$6="renew"),O25*(Inputs!$C$17*O20-O23*O19)/1000000,O25*O23*Inputs!$C$27/1000000)</f>
        <v>0.8073216</v>
      </c>
    </row>
    <row r="28" customFormat="false" ht="15" hidden="false" customHeight="false" outlineLevel="0" collapsed="false">
      <c r="B28" s="9" t="s">
        <v>151</v>
      </c>
      <c r="E28" s="24" t="n">
        <f aca="false">Inputs!$C$10*E21*IF(OR(E$18&lt;=Inputs!$C$9,$C$6="renew"),1,IF($C$6="retrofit",IF(E$18-Inputs!$C$9=1,Inputs!$C$48,1),IF($C$6="relet",Inputs!$C$54,Inputs!$C$56)))</f>
        <v>4.1</v>
      </c>
      <c r="F28" s="24" t="n">
        <f aca="false">Inputs!$C$10*F21*IF(OR(F$18&lt;=Inputs!$C$9,$C$6="renew"),1,IF($C$6="retrofit",IF(F$18-Inputs!$C$9=1,Inputs!$C$48,1),IF($C$6="relet",Inputs!$C$54,Inputs!$C$56)))</f>
        <v>4.223</v>
      </c>
      <c r="G28" s="24" t="n">
        <f aca="false">Inputs!$C$10*G21*IF(OR(G$18&lt;=Inputs!$C$9,$C$6="renew"),1,IF($C$6="retrofit",IF(G$18-Inputs!$C$9=1,Inputs!$C$48,1),IF($C$6="relet",Inputs!$C$54,Inputs!$C$56)))</f>
        <v>4.34969</v>
      </c>
      <c r="H28" s="24" t="n">
        <f aca="false">Inputs!$C$10*H21*IF(OR(H$18&lt;=Inputs!$C$9,$C$6="renew"),1,IF($C$6="retrofit",IF(H$18-Inputs!$C$9=1,Inputs!$C$48,1),IF($C$6="relet",Inputs!$C$54,Inputs!$C$56)))</f>
        <v>4.4801807</v>
      </c>
      <c r="I28" s="24" t="n">
        <f aca="false">Inputs!$C$10*I21*IF(OR(I$18&lt;=Inputs!$C$9,$C$6="renew"),1,IF($C$6="retrofit",IF(I$18-Inputs!$C$9=1,Inputs!$C$48,1),IF($C$6="relet",Inputs!$C$54,Inputs!$C$56)))</f>
        <v>4.614586121</v>
      </c>
      <c r="J28" s="24" t="n">
        <f aca="false">Inputs!$C$10*J21*IF(OR(J$18&lt;=Inputs!$C$9,$C$6="renew"),1,IF($C$6="retrofit",IF(J$18-Inputs!$C$9=1,Inputs!$C$48,1),IF($C$6="relet",Inputs!$C$54,Inputs!$C$56)))</f>
        <v>4.75302370463</v>
      </c>
      <c r="K28" s="24" t="n">
        <f aca="false">Inputs!$C$10*K21*IF(OR(K$18&lt;=Inputs!$C$9,$C$6="renew"),1,IF($C$6="retrofit",IF(K$18-Inputs!$C$9=1,Inputs!$C$48,1),IF($C$6="relet",Inputs!$C$54,Inputs!$C$56)))</f>
        <v>4.8956144157689</v>
      </c>
      <c r="L28" s="24" t="n">
        <f aca="false">Inputs!$C$10*L21*IF(OR(L$18&lt;=Inputs!$C$9,$C$6="renew"),1,IF($C$6="retrofit",IF(L$18-Inputs!$C$9=1,Inputs!$C$48,1),IF($C$6="relet",Inputs!$C$54,Inputs!$C$56)))</f>
        <v>5.04248284824197</v>
      </c>
      <c r="M28" s="24" t="n">
        <f aca="false">Inputs!$C$10*M21*IF(OR(M$18&lt;=Inputs!$C$9,$C$6="renew"),1,IF($C$6="retrofit",IF(M$18-Inputs!$C$9=1,Inputs!$C$48,1),IF($C$6="relet",Inputs!$C$54,Inputs!$C$56)))</f>
        <v>2.59687866684461</v>
      </c>
      <c r="N28" s="24" t="n">
        <f aca="false">Inputs!$C$10*N21*IF(OR(N$18&lt;=Inputs!$C$9,$C$6="renew"),1,IF($C$6="retrofit",IF(N$18-Inputs!$C$9=1,Inputs!$C$48,1),IF($C$6="relet",Inputs!$C$54,Inputs!$C$56)))</f>
        <v>5.3495700536999</v>
      </c>
      <c r="O28" s="24" t="n">
        <f aca="false">Inputs!$C$10*O21*IF(OR(O$18&lt;=Inputs!$C$9,$C$6="renew"),1,IF($C$6="retrofit",IF(O$18-Inputs!$C$9=1,Inputs!$C$48,1),IF($C$6="relet",Inputs!$C$54,Inputs!$C$56)))</f>
        <v>5.5100571553109</v>
      </c>
    </row>
    <row r="29" customFormat="false" ht="15" hidden="false" customHeight="false" outlineLevel="0" collapsed="false">
      <c r="B29" s="9" t="s">
        <v>152</v>
      </c>
      <c r="E29" s="24" t="n">
        <f aca="false">IF(E$18&gt;=$C$8,Inputs!$C$30*1000*Inputs!$C$34*12*(1+Inputs!$C$8)^(E$18-$C$8)/1000000*IF(AND(E$18=$C$8,$C$8&gt;Inputs!$C$33),1-MIN(12,Inputs!$C$35*($C$8-Inputs!$C$33)*12)/12,1),0)</f>
        <v>0</v>
      </c>
      <c r="F29" s="24" t="n">
        <f aca="false">IF(F$18&gt;=$C$8,Inputs!$C$30*1000*Inputs!$C$34*12*(1+Inputs!$C$8)^(F$18-$C$8)/1000000*IF(AND(F$18=$C$8,$C$8&gt;Inputs!$C$33),1-MIN(12,Inputs!$C$35*($C$8-Inputs!$C$33)*12)/12,1),0)</f>
        <v>0</v>
      </c>
      <c r="G29" s="24" t="n">
        <f aca="false">IF(G$18&gt;=$C$8,Inputs!$C$30*1000*Inputs!$C$34*12*(1+Inputs!$C$8)^(G$18-$C$8)/1000000*IF(AND(G$18=$C$8,$C$8&gt;Inputs!$C$33),1-MIN(12,Inputs!$C$35*($C$8-Inputs!$C$33)*12)/12,1),0)</f>
        <v>29.184</v>
      </c>
      <c r="H29" s="24" t="n">
        <f aca="false">IF(H$18&gt;=$C$8,Inputs!$C$30*1000*Inputs!$C$34*12*(1+Inputs!$C$8)^(H$18-$C$8)/1000000*IF(AND(H$18=$C$8,$C$8&gt;Inputs!$C$33),1-MIN(12,Inputs!$C$35*($C$8-Inputs!$C$33)*12)/12,1),0)</f>
        <v>29.76768</v>
      </c>
      <c r="I29" s="24" t="n">
        <f aca="false">IF(I$18&gt;=$C$8,Inputs!$C$30*1000*Inputs!$C$34*12*(1+Inputs!$C$8)^(I$18-$C$8)/1000000*IF(AND(I$18=$C$8,$C$8&gt;Inputs!$C$33),1-MIN(12,Inputs!$C$35*($C$8-Inputs!$C$33)*12)/12,1),0)</f>
        <v>30.3630336</v>
      </c>
      <c r="J29" s="24" t="n">
        <f aca="false">IF(J$18&gt;=$C$8,Inputs!$C$30*1000*Inputs!$C$34*12*(1+Inputs!$C$8)^(J$18-$C$8)/1000000*IF(AND(J$18=$C$8,$C$8&gt;Inputs!$C$33),1-MIN(12,Inputs!$C$35*($C$8-Inputs!$C$33)*12)/12,1),0)</f>
        <v>30.970294272</v>
      </c>
      <c r="K29" s="24" t="n">
        <f aca="false">IF(K$18&gt;=$C$8,Inputs!$C$30*1000*Inputs!$C$34*12*(1+Inputs!$C$8)^(K$18-$C$8)/1000000*IF(AND(K$18=$C$8,$C$8&gt;Inputs!$C$33),1-MIN(12,Inputs!$C$35*($C$8-Inputs!$C$33)*12)/12,1),0)</f>
        <v>31.58970015744</v>
      </c>
      <c r="L29" s="24" t="n">
        <f aca="false">IF(L$18&gt;=$C$8,Inputs!$C$30*1000*Inputs!$C$34*12*(1+Inputs!$C$8)^(L$18-$C$8)/1000000*IF(AND(L$18=$C$8,$C$8&gt;Inputs!$C$33),1-MIN(12,Inputs!$C$35*($C$8-Inputs!$C$33)*12)/12,1),0)</f>
        <v>32.2214941605888</v>
      </c>
      <c r="M29" s="24" t="n">
        <f aca="false">IF(M$18&gt;=$C$8,Inputs!$C$30*1000*Inputs!$C$34*12*(1+Inputs!$C$8)^(M$18-$C$8)/1000000*IF(AND(M$18=$C$8,$C$8&gt;Inputs!$C$33),1-MIN(12,Inputs!$C$35*($C$8-Inputs!$C$33)*12)/12,1),0)</f>
        <v>32.8659240438006</v>
      </c>
      <c r="N29" s="24" t="n">
        <f aca="false">IF(N$18&gt;=$C$8,Inputs!$C$30*1000*Inputs!$C$34*12*(1+Inputs!$C$8)^(N$18-$C$8)/1000000*IF(AND(N$18=$C$8,$C$8&gt;Inputs!$C$33),1-MIN(12,Inputs!$C$35*($C$8-Inputs!$C$33)*12)/12,1),0)</f>
        <v>33.5232425246766</v>
      </c>
      <c r="O29" s="24" t="n">
        <f aca="false">IF(O$18&gt;=$C$8,Inputs!$C$30*1000*Inputs!$C$34*12*(1+Inputs!$C$8)^(O$18-$C$8)/1000000*IF(AND(O$18=$C$8,$C$8&gt;Inputs!$C$33),1-MIN(12,Inputs!$C$35*($C$8-Inputs!$C$33)*12)/12,1),0)</f>
        <v>34.1937073751701</v>
      </c>
    </row>
    <row r="30" customFormat="false" ht="15" hidden="false" customHeight="false" outlineLevel="0" collapsed="false">
      <c r="B30" s="9" t="s">
        <v>153</v>
      </c>
      <c r="E30" s="28" t="n">
        <f aca="false">IF(E$18&gt;=$C$8,Inputs!$C$30*1000*Inputs!$C$16*8760/1000,0)</f>
        <v>0</v>
      </c>
      <c r="F30" s="28" t="n">
        <f aca="false">IF(F$18&gt;=$C$8,Inputs!$C$30*1000*Inputs!$C$16*8760/1000,0)</f>
        <v>0</v>
      </c>
      <c r="G30" s="28" t="n">
        <f aca="false">IF(G$18&gt;=$C$8,Inputs!$C$30*1000*Inputs!$C$16*8760/1000,0)</f>
        <v>112128</v>
      </c>
      <c r="H30" s="28" t="n">
        <f aca="false">IF(H$18&gt;=$C$8,Inputs!$C$30*1000*Inputs!$C$16*8760/1000,0)</f>
        <v>112128</v>
      </c>
      <c r="I30" s="28" t="n">
        <f aca="false">IF(I$18&gt;=$C$8,Inputs!$C$30*1000*Inputs!$C$16*8760/1000,0)</f>
        <v>112128</v>
      </c>
      <c r="J30" s="28" t="n">
        <f aca="false">IF(J$18&gt;=$C$8,Inputs!$C$30*1000*Inputs!$C$16*8760/1000,0)</f>
        <v>112128</v>
      </c>
      <c r="K30" s="28" t="n">
        <f aca="false">IF(K$18&gt;=$C$8,Inputs!$C$30*1000*Inputs!$C$16*8760/1000,0)</f>
        <v>112128</v>
      </c>
      <c r="L30" s="28" t="n">
        <f aca="false">IF(L$18&gt;=$C$8,Inputs!$C$30*1000*Inputs!$C$16*8760/1000,0)</f>
        <v>112128</v>
      </c>
      <c r="M30" s="28" t="n">
        <f aca="false">IF(M$18&gt;=$C$8,Inputs!$C$30*1000*Inputs!$C$16*8760/1000,0)</f>
        <v>112128</v>
      </c>
      <c r="N30" s="28" t="n">
        <f aca="false">IF(N$18&gt;=$C$8,Inputs!$C$30*1000*Inputs!$C$16*8760/1000,0)</f>
        <v>112128</v>
      </c>
      <c r="O30" s="28" t="n">
        <f aca="false">IF(O$18&gt;=$C$8,Inputs!$C$30*1000*Inputs!$C$16*8760/1000,0)</f>
        <v>112128</v>
      </c>
    </row>
    <row r="31" customFormat="false" ht="15" hidden="false" customHeight="false" outlineLevel="0" collapsed="false">
      <c r="B31" s="9" t="s">
        <v>154</v>
      </c>
      <c r="E31" s="24" t="n">
        <f aca="false">E30*Inputs!$C$37*Inputs!$C$27/1000000</f>
        <v>0</v>
      </c>
      <c r="F31" s="24" t="n">
        <f aca="false">F30*Inputs!$C$37*Inputs!$C$27/1000000</f>
        <v>0</v>
      </c>
      <c r="G31" s="24" t="n">
        <f aca="false">G30*Inputs!$C$37*Inputs!$C$27/1000000</f>
        <v>0.4036608</v>
      </c>
      <c r="H31" s="24" t="n">
        <f aca="false">H30*Inputs!$C$37*Inputs!$C$27/1000000</f>
        <v>0.4036608</v>
      </c>
      <c r="I31" s="24" t="n">
        <f aca="false">I30*Inputs!$C$37*Inputs!$C$27/1000000</f>
        <v>0.4036608</v>
      </c>
      <c r="J31" s="24" t="n">
        <f aca="false">J30*Inputs!$C$37*Inputs!$C$27/1000000</f>
        <v>0.4036608</v>
      </c>
      <c r="K31" s="24" t="n">
        <f aca="false">K30*Inputs!$C$37*Inputs!$C$27/1000000</f>
        <v>0.4036608</v>
      </c>
      <c r="L31" s="24" t="n">
        <f aca="false">L30*Inputs!$C$37*Inputs!$C$27/1000000</f>
        <v>0.4036608</v>
      </c>
      <c r="M31" s="24" t="n">
        <f aca="false">M30*Inputs!$C$37*Inputs!$C$27/1000000</f>
        <v>0.4036608</v>
      </c>
      <c r="N31" s="24" t="n">
        <f aca="false">N30*Inputs!$C$37*Inputs!$C$27/1000000</f>
        <v>0.4036608</v>
      </c>
      <c r="O31" s="24" t="n">
        <f aca="false">O30*Inputs!$C$37*Inputs!$C$27/1000000</f>
        <v>0.4036608</v>
      </c>
    </row>
    <row r="32" customFormat="false" ht="15" hidden="false" customHeight="false" outlineLevel="0" collapsed="false">
      <c r="B32" s="9" t="s">
        <v>155</v>
      </c>
      <c r="E32" s="24" t="n">
        <f aca="false">IF(E$18&gt;=$C$8,Inputs!$C$38*E21,0)</f>
        <v>0</v>
      </c>
      <c r="F32" s="24" t="n">
        <f aca="false">IF(F$18&gt;=$C$8,Inputs!$C$38*F21,0)</f>
        <v>0</v>
      </c>
      <c r="G32" s="24" t="n">
        <f aca="false">IF(G$18&gt;=$C$8,Inputs!$C$38*G21,0)</f>
        <v>1.69744</v>
      </c>
      <c r="H32" s="24" t="n">
        <f aca="false">IF(H$18&gt;=$C$8,Inputs!$C$38*H21,0)</f>
        <v>1.7483632</v>
      </c>
      <c r="I32" s="24" t="n">
        <f aca="false">IF(I$18&gt;=$C$8,Inputs!$C$38*I21,0)</f>
        <v>1.800814096</v>
      </c>
      <c r="J32" s="24" t="n">
        <f aca="false">IF(J$18&gt;=$C$8,Inputs!$C$38*J21,0)</f>
        <v>1.85483851888</v>
      </c>
      <c r="K32" s="24" t="n">
        <f aca="false">IF(K$18&gt;=$C$8,Inputs!$C$38*K21,0)</f>
        <v>1.9104836744464</v>
      </c>
      <c r="L32" s="24" t="n">
        <f aca="false">IF(L$18&gt;=$C$8,Inputs!$C$38*L21,0)</f>
        <v>1.96779818467979</v>
      </c>
      <c r="M32" s="24" t="n">
        <f aca="false">IF(M$18&gt;=$C$8,Inputs!$C$38*M21,0)</f>
        <v>2.02683213022019</v>
      </c>
      <c r="N32" s="24" t="n">
        <f aca="false">IF(N$18&gt;=$C$8,Inputs!$C$38*N21,0)</f>
        <v>2.08763709412679</v>
      </c>
      <c r="O32" s="24" t="n">
        <f aca="false">IF(O$18&gt;=$C$8,Inputs!$C$38*O21,0)</f>
        <v>2.1502662069506</v>
      </c>
    </row>
    <row r="33" customFormat="false" ht="15" hidden="false" customHeight="false" outlineLevel="0" collapsed="false">
      <c r="B33" s="9" t="s">
        <v>156</v>
      </c>
      <c r="E33" s="24" t="n">
        <f aca="false">Inputs!$C$12*(E26+E29)</f>
        <v>0.52992</v>
      </c>
      <c r="F33" s="24" t="n">
        <f aca="false">Inputs!$C$12*(F26+F29)</f>
        <v>0.5405184</v>
      </c>
      <c r="G33" s="24" t="n">
        <f aca="false">Inputs!$C$12*(G26+G29)</f>
        <v>0.843168768</v>
      </c>
      <c r="H33" s="24" t="n">
        <f aca="false">Inputs!$C$12*(H26+H29)</f>
        <v>0.86003214336</v>
      </c>
      <c r="I33" s="24" t="n">
        <f aca="false">Inputs!$C$12*(I26+I29)</f>
        <v>0.8772327862272</v>
      </c>
      <c r="J33" s="24" t="n">
        <f aca="false">Inputs!$C$12*(J26+J29)</f>
        <v>0.894777441951744</v>
      </c>
      <c r="K33" s="24" t="n">
        <f aca="false">Inputs!$C$12*(K26+K29)</f>
        <v>0.912672990790779</v>
      </c>
      <c r="L33" s="24" t="n">
        <f aca="false">Inputs!$C$12*(L26+L29)</f>
        <v>0.930926450606595</v>
      </c>
      <c r="M33" s="24" t="n">
        <f aca="false">Inputs!$C$12*(M26+M29)</f>
        <v>0.328659240438006</v>
      </c>
      <c r="N33" s="24" t="n">
        <f aca="false">Inputs!$C$12*(N26+N29)</f>
        <v>0.980352425246766</v>
      </c>
      <c r="O33" s="24" t="n">
        <f aca="false">Inputs!$C$12*(O26+O29)</f>
        <v>0.999959473751701</v>
      </c>
    </row>
    <row r="34" customFormat="false" ht="15" hidden="false" customHeight="false" outlineLevel="0" collapsed="false">
      <c r="B34" s="29" t="s">
        <v>157</v>
      </c>
      <c r="E34" s="30" t="n">
        <f aca="false">E26+E27+E29+E31-E28-E32-E33</f>
        <v>50.7840448</v>
      </c>
      <c r="F34" s="30" t="n">
        <f aca="false">F26+F27+F29+F31-F28-F32-F33</f>
        <v>52.141754944</v>
      </c>
      <c r="G34" s="30" t="n">
        <f aca="false">G26+G27+G29+G31-G28-G32-G33</f>
        <v>81.12377009088</v>
      </c>
      <c r="H34" s="30" t="n">
        <f aca="false">H26+H27+H29+H31-H28-H32-H33</f>
        <v>83.0607302246976</v>
      </c>
      <c r="I34" s="30" t="n">
        <f aca="false">I26+I27+I29+I31-I28-I32-I33</f>
        <v>83.1508650221916</v>
      </c>
      <c r="J34" s="30" t="n">
        <f aca="false">J26+J27+J29+J31-J28-J32-J33</f>
        <v>84.6364790404654</v>
      </c>
      <c r="K34" s="30" t="n">
        <f aca="false">K26+K27+K29+K31-K28-K32-K33</f>
        <v>86.1472513174396</v>
      </c>
      <c r="L34" s="30" t="n">
        <f aca="false">L26+L27+L29+L31-L28-L32-L33</f>
        <v>87.6835615446462</v>
      </c>
      <c r="M34" s="30" t="n">
        <f aca="false">M26+M27+M29+M31-M28-M32-M33</f>
        <v>28.3172148062978</v>
      </c>
      <c r="N34" s="30" t="n">
        <f aca="false">N26+N27+N29+N31-N28-N32-N33</f>
        <v>90.8286653516031</v>
      </c>
      <c r="O34" s="30" t="n">
        <f aca="false">O26+O27+O29+O31-O28-O32-O33</f>
        <v>92.5466469391569</v>
      </c>
    </row>
    <row r="35" customFormat="false" ht="15" hidden="false" customHeight="false" outlineLevel="0" collapsed="false">
      <c r="B35" s="9" t="s">
        <v>158</v>
      </c>
      <c r="E35" s="24" t="n">
        <f aca="false">Inputs!$C$13*E21*IF(AND($C$6="stranded",E$18&gt;Inputs!$C$9),Inputs!$C$56,1)+IF(E$18&gt;=$C$8,Inputs!$C$39*E21,0)</f>
        <v>1.3</v>
      </c>
      <c r="F35" s="24" t="n">
        <f aca="false">Inputs!$C$13*F21*IF(AND($C$6="stranded",F$18&gt;Inputs!$C$9),Inputs!$C$56,1)+IF(F$18&gt;=$C$8,Inputs!$C$39*F21,0)</f>
        <v>1.339</v>
      </c>
      <c r="G35" s="24" t="n">
        <f aca="false">Inputs!$C$13*G21*IF(AND($C$6="stranded",G$18&gt;Inputs!$C$9),Inputs!$C$56,1)+IF(G$18&gt;=$C$8,Inputs!$C$39*G21,0)</f>
        <v>1.90962</v>
      </c>
      <c r="H35" s="24" t="n">
        <f aca="false">Inputs!$C$13*H21*IF(AND($C$6="stranded",H$18&gt;Inputs!$C$9),Inputs!$C$56,1)+IF(H$18&gt;=$C$8,Inputs!$C$39*H21,0)</f>
        <v>1.9669086</v>
      </c>
      <c r="I35" s="24" t="n">
        <f aca="false">Inputs!$C$13*I21*IF(AND($C$6="stranded",I$18&gt;Inputs!$C$9),Inputs!$C$56,1)+IF(I$18&gt;=$C$8,Inputs!$C$39*I21,0)</f>
        <v>2.025915858</v>
      </c>
      <c r="J35" s="24" t="n">
        <f aca="false">Inputs!$C$13*J21*IF(AND($C$6="stranded",J$18&gt;Inputs!$C$9),Inputs!$C$56,1)+IF(J$18&gt;=$C$8,Inputs!$C$39*J21,0)</f>
        <v>2.08669333374</v>
      </c>
      <c r="K35" s="24" t="n">
        <f aca="false">Inputs!$C$13*K21*IF(AND($C$6="stranded",K$18&gt;Inputs!$C$9),Inputs!$C$56,1)+IF(K$18&gt;=$C$8,Inputs!$C$39*K21,0)</f>
        <v>2.1492941337522</v>
      </c>
      <c r="L35" s="24" t="n">
        <f aca="false">Inputs!$C$13*L21*IF(AND($C$6="stranded",L$18&gt;Inputs!$C$9),Inputs!$C$56,1)+IF(L$18&gt;=$C$8,Inputs!$C$39*L21,0)</f>
        <v>2.21377295776477</v>
      </c>
      <c r="M35" s="24" t="n">
        <f aca="false">Inputs!$C$13*M21*IF(AND($C$6="stranded",M$18&gt;Inputs!$C$9),Inputs!$C$56,1)+IF(M$18&gt;=$C$8,Inputs!$C$39*M21,0)</f>
        <v>2.28018614649771</v>
      </c>
      <c r="N35" s="24" t="n">
        <f aca="false">Inputs!$C$13*N21*IF(AND($C$6="stranded",N$18&gt;Inputs!$C$9),Inputs!$C$56,1)+IF(N$18&gt;=$C$8,Inputs!$C$39*N21,0)</f>
        <v>2.34859173089264</v>
      </c>
      <c r="O35" s="24" t="n">
        <f aca="false">Inputs!$C$13*O21*IF(AND($C$6="stranded",O$18&gt;Inputs!$C$9),Inputs!$C$56,1)+IF(O$18&gt;=$C$8,Inputs!$C$39*O21,0)</f>
        <v>2.41904948281942</v>
      </c>
    </row>
    <row r="36" customFormat="false" ht="15" hidden="false" customHeight="false" outlineLevel="0" collapsed="false">
      <c r="B36" s="9" t="s">
        <v>159</v>
      </c>
      <c r="E36" s="24" t="n">
        <f aca="false">IF(OR(E$18=1,E$18=2),Inputs!$C$31*Inputs!$C$30/2,0)+IF(AND(E$18=2,$C$8&gt;Inputs!$C$33),Inputs!$C$31*Inputs!$C$30*Inputs!$C$36*($C$8-Inputs!$C$33),0)</f>
        <v>84</v>
      </c>
      <c r="F36" s="24" t="n">
        <f aca="false">IF(OR(F$18=1,F$18=2),Inputs!$C$31*Inputs!$C$30/2,0)+IF(AND(F$18=2,$C$8&gt;Inputs!$C$33),Inputs!$C$31*Inputs!$C$30*Inputs!$C$36*($C$8-Inputs!$C$33),0)</f>
        <v>84</v>
      </c>
      <c r="G36" s="24" t="n">
        <f aca="false">IF(OR(G$18=1,G$18=2),Inputs!$C$31*Inputs!$C$30/2,0)+IF(AND(G$18=2,$C$8&gt;Inputs!$C$33),Inputs!$C$31*Inputs!$C$30*Inputs!$C$36*($C$8-Inputs!$C$33),0)</f>
        <v>0</v>
      </c>
      <c r="H36" s="24" t="n">
        <f aca="false">IF(OR(H$18=1,H$18=2),Inputs!$C$31*Inputs!$C$30/2,0)+IF(AND(H$18=2,$C$8&gt;Inputs!$C$33),Inputs!$C$31*Inputs!$C$30*Inputs!$C$36*($C$8-Inputs!$C$33),0)</f>
        <v>0</v>
      </c>
      <c r="I36" s="24" t="n">
        <f aca="false">IF(OR(I$18=1,I$18=2),Inputs!$C$31*Inputs!$C$30/2,0)+IF(AND(I$18=2,$C$8&gt;Inputs!$C$33),Inputs!$C$31*Inputs!$C$30*Inputs!$C$36*($C$8-Inputs!$C$33),0)</f>
        <v>0</v>
      </c>
      <c r="J36" s="24" t="n">
        <f aca="false">IF(OR(J$18=1,J$18=2),Inputs!$C$31*Inputs!$C$30/2,0)+IF(AND(J$18=2,$C$8&gt;Inputs!$C$33),Inputs!$C$31*Inputs!$C$30*Inputs!$C$36*($C$8-Inputs!$C$33),0)</f>
        <v>0</v>
      </c>
      <c r="K36" s="24" t="n">
        <f aca="false">IF(OR(K$18=1,K$18=2),Inputs!$C$31*Inputs!$C$30/2,0)+IF(AND(K$18=2,$C$8&gt;Inputs!$C$33),Inputs!$C$31*Inputs!$C$30*Inputs!$C$36*($C$8-Inputs!$C$33),0)</f>
        <v>0</v>
      </c>
      <c r="L36" s="24" t="n">
        <f aca="false">IF(OR(L$18=1,L$18=2),Inputs!$C$31*Inputs!$C$30/2,0)+IF(AND(L$18=2,$C$8&gt;Inputs!$C$33),Inputs!$C$31*Inputs!$C$30*Inputs!$C$36*($C$8-Inputs!$C$33),0)</f>
        <v>0</v>
      </c>
      <c r="M36" s="24" t="n">
        <f aca="false">IF(OR(M$18=1,M$18=2),Inputs!$C$31*Inputs!$C$30/2,0)+IF(AND(M$18=2,$C$8&gt;Inputs!$C$33),Inputs!$C$31*Inputs!$C$30*Inputs!$C$36*($C$8-Inputs!$C$33),0)</f>
        <v>0</v>
      </c>
      <c r="N36" s="24" t="n">
        <f aca="false">IF(OR(N$18=1,N$18=2),Inputs!$C$31*Inputs!$C$30/2,0)+IF(AND(N$18=2,$C$8&gt;Inputs!$C$33),Inputs!$C$31*Inputs!$C$30*Inputs!$C$36*($C$8-Inputs!$C$33),0)</f>
        <v>0</v>
      </c>
      <c r="O36" s="24" t="n">
        <f aca="false">IF(OR(O$18=1,O$18=2),Inputs!$C$31*Inputs!$C$30/2,0)+IF(AND(O$18=2,$C$8&gt;Inputs!$C$33),Inputs!$C$31*Inputs!$C$30*Inputs!$C$36*($C$8-Inputs!$C$33),0)</f>
        <v>0</v>
      </c>
    </row>
    <row r="37" customFormat="false" ht="15" hidden="false" customHeight="false" outlineLevel="0" collapsed="false">
      <c r="B37" s="9" t="s">
        <v>160</v>
      </c>
      <c r="E37" s="24" t="n">
        <f aca="false">IF(E$18=Inputs!$C$9+1,Inputs!$C$6*IF($C$6="renew",Inputs!$C$44,IF($C$6="retrofit",Inputs!$C$45,IF($C$6="relet",Inputs!$C$55,0))),0)</f>
        <v>0</v>
      </c>
      <c r="F37" s="24" t="n">
        <f aca="false">IF(F$18=Inputs!$C$9+1,Inputs!$C$6*IF($C$6="renew",Inputs!$C$44,IF($C$6="retrofit",Inputs!$C$45,IF($C$6="relet",Inputs!$C$55,0))),0)</f>
        <v>0</v>
      </c>
      <c r="G37" s="24" t="n">
        <f aca="false">IF(G$18=Inputs!$C$9+1,Inputs!$C$6*IF($C$6="renew",Inputs!$C$44,IF($C$6="retrofit",Inputs!$C$45,IF($C$6="relet",Inputs!$C$55,0))),0)</f>
        <v>0</v>
      </c>
      <c r="H37" s="24" t="n">
        <f aca="false">IF(H$18=Inputs!$C$9+1,Inputs!$C$6*IF($C$6="renew",Inputs!$C$44,IF($C$6="retrofit",Inputs!$C$45,IF($C$6="relet",Inputs!$C$55,0))),0)</f>
        <v>0</v>
      </c>
      <c r="I37" s="24" t="n">
        <f aca="false">IF(I$18=Inputs!$C$9+1,Inputs!$C$6*IF($C$6="renew",Inputs!$C$44,IF($C$6="retrofit",Inputs!$C$45,IF($C$6="relet",Inputs!$C$55,0))),0)</f>
        <v>0</v>
      </c>
      <c r="J37" s="24" t="n">
        <f aca="false">IF(J$18=Inputs!$C$9+1,Inputs!$C$6*IF($C$6="renew",Inputs!$C$44,IF($C$6="retrofit",Inputs!$C$45,IF($C$6="relet",Inputs!$C$55,0))),0)</f>
        <v>0</v>
      </c>
      <c r="K37" s="24" t="n">
        <f aca="false">IF(K$18=Inputs!$C$9+1,Inputs!$C$6*IF($C$6="renew",Inputs!$C$44,IF($C$6="retrofit",Inputs!$C$45,IF($C$6="relet",Inputs!$C$55,0))),0)</f>
        <v>0</v>
      </c>
      <c r="L37" s="24" t="n">
        <f aca="false">IF(L$18=Inputs!$C$9+1,Inputs!$C$6*IF($C$6="renew",Inputs!$C$44,IF($C$6="retrofit",Inputs!$C$45,IF($C$6="relet",Inputs!$C$55,0))),0)</f>
        <v>0</v>
      </c>
      <c r="M37" s="24" t="n">
        <f aca="false">IF(M$18=Inputs!$C$9+1,Inputs!$C$6*IF($C$6="renew",Inputs!$C$44,IF($C$6="retrofit",Inputs!$C$45,IF($C$6="relet",Inputs!$C$55,0))),0)</f>
        <v>83.2</v>
      </c>
      <c r="N37" s="24" t="n">
        <f aca="false">IF(N$18=Inputs!$C$9+1,Inputs!$C$6*IF($C$6="renew",Inputs!$C$44,IF($C$6="retrofit",Inputs!$C$45,IF($C$6="relet",Inputs!$C$55,0))),0)</f>
        <v>0</v>
      </c>
      <c r="O37" s="24" t="n">
        <f aca="false">IF(O$18=Inputs!$C$9+1,Inputs!$C$6*IF($C$6="renew",Inputs!$C$44,IF($C$6="retrofit",Inputs!$C$45,IF($C$6="relet",Inputs!$C$55,0))),0)</f>
        <v>0</v>
      </c>
    </row>
    <row r="38" customFormat="false" ht="15" hidden="false" customHeight="false" outlineLevel="0" collapsed="false">
      <c r="B38" s="29" t="s">
        <v>161</v>
      </c>
      <c r="E38" s="30" t="n">
        <f aca="false">E34-E35-E36-E37</f>
        <v>-34.5159552</v>
      </c>
      <c r="F38" s="30" t="n">
        <f aca="false">F34-F35-F36-F37</f>
        <v>-33.197245056</v>
      </c>
      <c r="G38" s="30" t="n">
        <f aca="false">G34-G35-G36-G37</f>
        <v>79.21415009088</v>
      </c>
      <c r="H38" s="30" t="n">
        <f aca="false">H34-H35-H36-H37</f>
        <v>81.0938216246976</v>
      </c>
      <c r="I38" s="30" t="n">
        <f aca="false">I34-I35-I36-I37</f>
        <v>81.1249491641916</v>
      </c>
      <c r="J38" s="30" t="n">
        <f aca="false">J34-J35-J36-J37</f>
        <v>82.5497857067254</v>
      </c>
      <c r="K38" s="30" t="n">
        <f aca="false">K34-K35-K36-K37</f>
        <v>83.9979571836874</v>
      </c>
      <c r="L38" s="30" t="n">
        <f aca="false">L34-L35-L36-L37</f>
        <v>85.4697885868815</v>
      </c>
      <c r="M38" s="30" t="n">
        <f aca="false">M34-M35-M36-M37</f>
        <v>-57.1629713401999</v>
      </c>
      <c r="N38" s="30" t="n">
        <f aca="false">N34-N35-N36-N37</f>
        <v>88.4800736207105</v>
      </c>
      <c r="O38" s="30" t="n">
        <f aca="false">O34-O35-O36-O37</f>
        <v>90.1275974563375</v>
      </c>
    </row>
    <row r="39" customFormat="false" ht="15" hidden="false" customHeight="false" outlineLevel="0" collapsed="false">
      <c r="B39" s="6" t="s">
        <v>162</v>
      </c>
    </row>
    <row r="41" customFormat="false" ht="15" hidden="false" customHeight="false" outlineLevel="0" collapsed="false">
      <c r="B41" s="9" t="s">
        <v>163</v>
      </c>
      <c r="C41" s="23" t="n">
        <f aca="false">IF($C$6="renew",Inputs!$C$67,IF($C$6="retrofit",Inputs!$C$68,IF($C$6="relet",Inputs!$C$69,Inputs!$C$70)))+$C$12</f>
        <v>0.0575</v>
      </c>
    </row>
    <row r="42" customFormat="false" ht="15" hidden="false" customHeight="false" outlineLevel="0" collapsed="false">
      <c r="B42" s="9" t="s">
        <v>164</v>
      </c>
      <c r="C42" s="24" t="n">
        <f aca="false">O29+O31-O32-Inputs!$C$12*O29</f>
        <v>32.1051648944678</v>
      </c>
    </row>
    <row r="43" customFormat="false" ht="15" hidden="false" customHeight="false" outlineLevel="0" collapsed="false">
      <c r="B43" s="9" t="s">
        <v>165</v>
      </c>
      <c r="C43" s="24" t="n">
        <f aca="false">O34-$C$42</f>
        <v>60.4414820446891</v>
      </c>
    </row>
    <row r="44" customFormat="false" ht="15" hidden="false" customHeight="false" outlineLevel="0" collapsed="false">
      <c r="B44" s="9" t="s">
        <v>166</v>
      </c>
      <c r="C44" s="24" t="n">
        <f aca="false">IF($C$6="stranded",Inputs!$C$57*Inputs!$C$6-Inputs!$C$58,0)</f>
        <v>0</v>
      </c>
    </row>
    <row r="45" customFormat="false" ht="15" hidden="false" customHeight="false" outlineLevel="0" collapsed="false">
      <c r="B45" s="9" t="s">
        <v>167</v>
      </c>
      <c r="C45" s="24" t="n">
        <f aca="false">($C$42+$C$43)/$C$41+$C$44</f>
        <v>1609.50690328969</v>
      </c>
    </row>
    <row r="46" customFormat="false" ht="15" hidden="false" customHeight="false" outlineLevel="0" collapsed="false">
      <c r="B46" s="29" t="s">
        <v>168</v>
      </c>
      <c r="C46" s="30" t="n">
        <f aca="false">$C$45*(1-Inputs!$C$66)</f>
        <v>1585.36429974034</v>
      </c>
    </row>
    <row r="47" customFormat="false" ht="15" hidden="false" customHeight="false" outlineLevel="0" collapsed="false">
      <c r="B47" s="9" t="s">
        <v>169</v>
      </c>
      <c r="C47" s="24" t="n">
        <f aca="false">$C$16*(1+Inputs!$C$65)</f>
        <v>918</v>
      </c>
    </row>
    <row r="49" customFormat="false" ht="15" hidden="false" customHeight="false" outlineLevel="0" collapsed="false">
      <c r="B49" s="25" t="s">
        <v>170</v>
      </c>
      <c r="C49" s="26"/>
      <c r="D49" s="26" t="n">
        <v>0</v>
      </c>
      <c r="E49" s="26" t="n">
        <v>1</v>
      </c>
      <c r="F49" s="26" t="n">
        <v>2</v>
      </c>
      <c r="G49" s="26" t="n">
        <v>3</v>
      </c>
      <c r="H49" s="26" t="n">
        <v>4</v>
      </c>
      <c r="I49" s="26" t="n">
        <v>5</v>
      </c>
      <c r="J49" s="26" t="n">
        <v>6</v>
      </c>
      <c r="K49" s="26" t="n">
        <v>7</v>
      </c>
      <c r="L49" s="26" t="n">
        <v>8</v>
      </c>
      <c r="M49" s="26" t="n">
        <v>9</v>
      </c>
      <c r="N49" s="26" t="n">
        <v>10</v>
      </c>
    </row>
    <row r="50" customFormat="false" ht="15" hidden="false" customHeight="false" outlineLevel="0" collapsed="false">
      <c r="B50" s="29" t="s">
        <v>171</v>
      </c>
      <c r="D50" s="30" t="n">
        <f aca="false">-$C$47</f>
        <v>-918</v>
      </c>
      <c r="E50" s="30" t="n">
        <f aca="false">E38</f>
        <v>-34.5159552</v>
      </c>
      <c r="F50" s="30" t="n">
        <f aca="false">F38</f>
        <v>-33.197245056</v>
      </c>
      <c r="G50" s="30" t="n">
        <f aca="false">G38</f>
        <v>79.21415009088</v>
      </c>
      <c r="H50" s="30" t="n">
        <f aca="false">H38</f>
        <v>81.0938216246976</v>
      </c>
      <c r="I50" s="30" t="n">
        <f aca="false">I38</f>
        <v>81.1249491641916</v>
      </c>
      <c r="J50" s="30" t="n">
        <f aca="false">J38</f>
        <v>82.5497857067254</v>
      </c>
      <c r="K50" s="30" t="n">
        <f aca="false">K38</f>
        <v>83.9979571836874</v>
      </c>
      <c r="L50" s="30" t="n">
        <f aca="false">L38</f>
        <v>85.4697885868815</v>
      </c>
      <c r="M50" s="30" t="n">
        <f aca="false">M38</f>
        <v>-57.1629713401999</v>
      </c>
      <c r="N50" s="30" t="n">
        <f aca="false">N38+$C$46</f>
        <v>1673.84437336105</v>
      </c>
    </row>
    <row r="51" customFormat="false" ht="15" hidden="false" customHeight="false" outlineLevel="0" collapsed="false">
      <c r="B51" s="29" t="s">
        <v>172</v>
      </c>
      <c r="C51" s="31" t="n">
        <f aca="false">IRR(D50:N50,0.08)</f>
        <v>0.0916420359789399</v>
      </c>
    </row>
    <row r="54" customFormat="false" ht="15" hidden="false" customHeight="false" outlineLevel="0" collapsed="false">
      <c r="B54" s="7" t="s">
        <v>223</v>
      </c>
      <c r="C54" s="8"/>
      <c r="D54" s="8"/>
      <c r="E54" s="8"/>
      <c r="F54" s="8"/>
      <c r="G54" s="8"/>
      <c r="H54" s="8"/>
      <c r="I54" s="8"/>
      <c r="J54" s="8"/>
      <c r="K54" s="8"/>
      <c r="L54" s="8"/>
      <c r="M54" s="8"/>
      <c r="N54" s="8"/>
      <c r="O54" s="8"/>
    </row>
    <row r="55" customFormat="false" ht="15" hidden="false" customHeight="false" outlineLevel="0" collapsed="false">
      <c r="B55" s="9" t="s">
        <v>130</v>
      </c>
      <c r="C55" s="16" t="s">
        <v>224</v>
      </c>
    </row>
    <row r="56" customFormat="false" ht="15" hidden="false" customHeight="false" outlineLevel="0" collapsed="false">
      <c r="B56" s="9" t="s">
        <v>131</v>
      </c>
      <c r="C56" s="19" t="n">
        <f aca="false">Inputs!$C$25</f>
        <v>0</v>
      </c>
    </row>
    <row r="57" customFormat="false" ht="15" hidden="false" customHeight="false" outlineLevel="0" collapsed="false">
      <c r="B57" s="9" t="s">
        <v>132</v>
      </c>
      <c r="C57" s="20" t="n">
        <f aca="false">Inputs!$C$32</f>
        <v>3</v>
      </c>
    </row>
    <row r="58" customFormat="false" ht="15" hidden="false" customHeight="false" outlineLevel="0" collapsed="false">
      <c r="B58" s="9" t="s">
        <v>133</v>
      </c>
      <c r="C58" s="13" t="n">
        <v>0</v>
      </c>
    </row>
    <row r="59" customFormat="false" ht="15" hidden="false" customHeight="false" outlineLevel="0" collapsed="false">
      <c r="B59" s="9" t="s">
        <v>134</v>
      </c>
      <c r="C59" s="21" t="n">
        <f aca="false">Inputs!$C$60</f>
        <v>0.45</v>
      </c>
    </row>
    <row r="60" customFormat="false" ht="15" hidden="false" customHeight="false" outlineLevel="0" collapsed="false">
      <c r="B60" s="9" t="s">
        <v>135</v>
      </c>
      <c r="C60" s="22" t="n">
        <f aca="false">Inputs!$C$61</f>
        <v>1.55</v>
      </c>
    </row>
    <row r="61" customFormat="false" ht="15" hidden="false" customHeight="false" outlineLevel="0" collapsed="false">
      <c r="B61" s="9" t="s">
        <v>136</v>
      </c>
      <c r="C61" s="23" t="n">
        <f aca="false">Inputs!$C$71</f>
        <v>0</v>
      </c>
    </row>
    <row r="62" customFormat="false" ht="15" hidden="false" customHeight="false" outlineLevel="0" collapsed="false">
      <c r="B62" s="9" t="s">
        <v>30</v>
      </c>
      <c r="C62" s="22" t="n">
        <f aca="false">Inputs!$C$18</f>
        <v>1.4</v>
      </c>
    </row>
    <row r="63" customFormat="false" ht="15" hidden="false" customHeight="false" outlineLevel="0" collapsed="false">
      <c r="B63" s="9" t="s">
        <v>137</v>
      </c>
      <c r="C63" s="19" t="n">
        <f aca="false">Inputs!$C$43</f>
        <v>0.9</v>
      </c>
    </row>
    <row r="64" customFormat="false" ht="15" hidden="false" customHeight="false" outlineLevel="0" collapsed="false">
      <c r="B64" s="9" t="s">
        <v>138</v>
      </c>
      <c r="C64" s="24" t="n">
        <f aca="false">Inputs!$C$49</f>
        <v>120</v>
      </c>
    </row>
    <row r="65" customFormat="false" ht="15" hidden="false" customHeight="false" outlineLevel="0" collapsed="false">
      <c r="B65" s="9" t="s">
        <v>139</v>
      </c>
      <c r="C65" s="24" t="n">
        <f aca="false">Inputs!$C$64</f>
        <v>900</v>
      </c>
    </row>
    <row r="66" customFormat="false" ht="15" hidden="false" customHeight="false" outlineLevel="0" collapsed="false">
      <c r="B66" s="9" t="s">
        <v>140</v>
      </c>
      <c r="C66" s="24" t="n">
        <f aca="false">Inputs!$C$6*1000*Inputs!$C$7*12*(1+Inputs!$C$8)^(Inputs!$C$9-1)/1000000</f>
        <v>60.8711509000706</v>
      </c>
    </row>
    <row r="67" customFormat="false" ht="15" hidden="false" customHeight="false" outlineLevel="0" collapsed="false">
      <c r="B67" s="25" t="s">
        <v>141</v>
      </c>
      <c r="C67" s="26"/>
      <c r="E67" s="26" t="n">
        <v>1</v>
      </c>
      <c r="F67" s="26" t="n">
        <v>2</v>
      </c>
      <c r="G67" s="26" t="n">
        <v>3</v>
      </c>
      <c r="H67" s="26" t="n">
        <v>4</v>
      </c>
      <c r="I67" s="26" t="n">
        <v>5</v>
      </c>
      <c r="J67" s="26" t="n">
        <v>6</v>
      </c>
      <c r="K67" s="26" t="n">
        <v>7</v>
      </c>
      <c r="L67" s="26" t="n">
        <v>8</v>
      </c>
      <c r="M67" s="26" t="n">
        <v>9</v>
      </c>
      <c r="N67" s="26" t="n">
        <v>10</v>
      </c>
      <c r="O67" s="26" t="n">
        <v>11</v>
      </c>
    </row>
    <row r="68" customFormat="false" ht="15" hidden="false" customHeight="false" outlineLevel="0" collapsed="false">
      <c r="B68" s="9" t="s">
        <v>142</v>
      </c>
      <c r="E68" s="24" t="n">
        <f aca="false">IF(E$67&lt;=Inputs!$C$22,Inputs!$C$21,Inputs!$C$23*(1+Inputs!$C$24)^(E$67-5)*IF(AND($C$56&lt;&gt;0,E$67&gt;=Inputs!$C$26),1+$C$56,1))</f>
        <v>61</v>
      </c>
      <c r="F68" s="24" t="n">
        <f aca="false">IF(F$67&lt;=Inputs!$C$22,Inputs!$C$21,Inputs!$C$23*(1+Inputs!$C$24)^(F$67-5)*IF(AND($C$56&lt;&gt;0,F$67&gt;=Inputs!$C$26),1+$C$56,1))</f>
        <v>61</v>
      </c>
      <c r="G68" s="24" t="n">
        <f aca="false">IF(G$67&lt;=Inputs!$C$22,Inputs!$C$21,Inputs!$C$23*(1+Inputs!$C$24)^(G$67-5)*IF(AND($C$56&lt;&gt;0,G$67&gt;=Inputs!$C$26),1+$C$56,1))</f>
        <v>61</v>
      </c>
      <c r="H68" s="24" t="n">
        <f aca="false">IF(H$67&lt;=Inputs!$C$22,Inputs!$C$21,Inputs!$C$23*(1+Inputs!$C$24)^(H$67-5)*IF(AND($C$56&lt;&gt;0,H$67&gt;=Inputs!$C$26),1+$C$56,1))</f>
        <v>61</v>
      </c>
      <c r="I68" s="24" t="n">
        <f aca="false">IF(I$67&lt;=Inputs!$C$22,Inputs!$C$21,Inputs!$C$23*(1+Inputs!$C$24)^(I$67-5)*IF(AND($C$56&lt;&gt;0,I$67&gt;=Inputs!$C$26),1+$C$56,1))</f>
        <v>67</v>
      </c>
      <c r="J68" s="24" t="n">
        <f aca="false">IF(J$67&lt;=Inputs!$C$22,Inputs!$C$21,Inputs!$C$23*(1+Inputs!$C$24)^(J$67-5)*IF(AND($C$56&lt;&gt;0,J$67&gt;=Inputs!$C$26),1+$C$56,1))</f>
        <v>68.675</v>
      </c>
      <c r="K68" s="24" t="n">
        <f aca="false">IF(K$67&lt;=Inputs!$C$22,Inputs!$C$21,Inputs!$C$23*(1+Inputs!$C$24)^(K$67-5)*IF(AND($C$56&lt;&gt;0,K$67&gt;=Inputs!$C$26),1+$C$56,1))</f>
        <v>70.391875</v>
      </c>
      <c r="L68" s="24" t="n">
        <f aca="false">IF(L$67&lt;=Inputs!$C$22,Inputs!$C$21,Inputs!$C$23*(1+Inputs!$C$24)^(L$67-5)*IF(AND($C$56&lt;&gt;0,L$67&gt;=Inputs!$C$26),1+$C$56,1))</f>
        <v>72.151671875</v>
      </c>
      <c r="M68" s="24" t="n">
        <f aca="false">IF(M$67&lt;=Inputs!$C$22,Inputs!$C$21,Inputs!$C$23*(1+Inputs!$C$24)^(M$67-5)*IF(AND($C$56&lt;&gt;0,M$67&gt;=Inputs!$C$26),1+$C$56,1))</f>
        <v>73.955463671875</v>
      </c>
      <c r="N68" s="24" t="n">
        <f aca="false">IF(N$67&lt;=Inputs!$C$22,Inputs!$C$21,Inputs!$C$23*(1+Inputs!$C$24)^(N$67-5)*IF(AND($C$56&lt;&gt;0,N$67&gt;=Inputs!$C$26),1+$C$56,1))</f>
        <v>75.8043502636718</v>
      </c>
      <c r="O68" s="24" t="n">
        <f aca="false">IF(O$67&lt;=Inputs!$C$22,Inputs!$C$21,Inputs!$C$23*(1+Inputs!$C$24)^(O$67-5)*IF(AND($C$56&lt;&gt;0,O$67&gt;=Inputs!$C$26),1+$C$56,1))</f>
        <v>77.6994590202636</v>
      </c>
    </row>
    <row r="69" customFormat="false" ht="15" hidden="false" customHeight="false" outlineLevel="0" collapsed="false">
      <c r="B69" s="9" t="s">
        <v>143</v>
      </c>
      <c r="E69" s="24" t="n">
        <f aca="false">Inputs!$C$19*(1+Inputs!$C$20)^(E$67-1)</f>
        <v>74</v>
      </c>
      <c r="F69" s="24" t="n">
        <f aca="false">Inputs!$C$19*(1+Inputs!$C$20)^(F$67-1)</f>
        <v>75.48</v>
      </c>
      <c r="G69" s="24" t="n">
        <f aca="false">Inputs!$C$19*(1+Inputs!$C$20)^(G$67-1)</f>
        <v>76.9896</v>
      </c>
      <c r="H69" s="24" t="n">
        <f aca="false">Inputs!$C$19*(1+Inputs!$C$20)^(H$67-1)</f>
        <v>78.529392</v>
      </c>
      <c r="I69" s="24" t="n">
        <f aca="false">Inputs!$C$19*(1+Inputs!$C$20)^(I$67-1)</f>
        <v>80.09997984</v>
      </c>
      <c r="J69" s="24" t="n">
        <f aca="false">Inputs!$C$19*(1+Inputs!$C$20)^(J$67-1)</f>
        <v>81.7019794368</v>
      </c>
      <c r="K69" s="24" t="n">
        <f aca="false">Inputs!$C$19*(1+Inputs!$C$20)^(K$67-1)</f>
        <v>83.336019025536</v>
      </c>
      <c r="L69" s="24" t="n">
        <f aca="false">Inputs!$C$19*(1+Inputs!$C$20)^(L$67-1)</f>
        <v>85.0027394060467</v>
      </c>
      <c r="M69" s="24" t="n">
        <f aca="false">Inputs!$C$19*(1+Inputs!$C$20)^(M$67-1)</f>
        <v>86.7027941941677</v>
      </c>
      <c r="N69" s="24" t="n">
        <f aca="false">Inputs!$C$19*(1+Inputs!$C$20)^(N$67-1)</f>
        <v>88.436850078051</v>
      </c>
      <c r="O69" s="24" t="n">
        <f aca="false">Inputs!$C$19*(1+Inputs!$C$20)^(O$67-1)</f>
        <v>90.205587079612</v>
      </c>
    </row>
    <row r="70" customFormat="false" ht="15" hidden="false" customHeight="false" outlineLevel="0" collapsed="false">
      <c r="B70" s="9" t="s">
        <v>144</v>
      </c>
      <c r="E70" s="27" t="n">
        <f aca="false">(1+Inputs!$C$11)^(E$67-1)</f>
        <v>1</v>
      </c>
      <c r="F70" s="27" t="n">
        <f aca="false">(1+Inputs!$C$11)^(F$67-1)</f>
        <v>1.03</v>
      </c>
      <c r="G70" s="27" t="n">
        <f aca="false">(1+Inputs!$C$11)^(G$67-1)</f>
        <v>1.0609</v>
      </c>
      <c r="H70" s="27" t="n">
        <f aca="false">(1+Inputs!$C$11)^(H$67-1)</f>
        <v>1.092727</v>
      </c>
      <c r="I70" s="27" t="n">
        <f aca="false">(1+Inputs!$C$11)^(I$67-1)</f>
        <v>1.12550881</v>
      </c>
      <c r="J70" s="27" t="n">
        <f aca="false">(1+Inputs!$C$11)^(J$67-1)</f>
        <v>1.1592740743</v>
      </c>
      <c r="K70" s="27" t="n">
        <f aca="false">(1+Inputs!$C$11)^(K$67-1)</f>
        <v>1.194052296529</v>
      </c>
      <c r="L70" s="27" t="n">
        <f aca="false">(1+Inputs!$C$11)^(L$67-1)</f>
        <v>1.22987386542487</v>
      </c>
      <c r="M70" s="27" t="n">
        <f aca="false">(1+Inputs!$C$11)^(M$67-1)</f>
        <v>1.26677008138762</v>
      </c>
      <c r="N70" s="27" t="n">
        <f aca="false">(1+Inputs!$C$11)^(N$67-1)</f>
        <v>1.30477318382925</v>
      </c>
      <c r="O70" s="27" t="n">
        <f aca="false">(1+Inputs!$C$11)^(O$67-1)</f>
        <v>1.34391637934412</v>
      </c>
    </row>
    <row r="71" customFormat="false" ht="15" hidden="false" customHeight="false" outlineLevel="0" collapsed="false">
      <c r="B71" s="9" t="s">
        <v>145</v>
      </c>
      <c r="E71" s="19" t="n">
        <f aca="false">IF(OR(E$67&lt;=Inputs!$C$9,$C$55="renew"),IF(AND($C$58&gt;0,E$67&gt;=$C$58),$C$59,Inputs!$C$16),IF($C$55="stranded",0,Inputs!$C$16))</f>
        <v>0.8</v>
      </c>
      <c r="F71" s="19" t="n">
        <f aca="false">IF(OR(F$67&lt;=Inputs!$C$9,$C$55="renew"),IF(AND($C$58&gt;0,F$67&gt;=$C$58),$C$59,Inputs!$C$16),IF($C$55="stranded",0,Inputs!$C$16))</f>
        <v>0.8</v>
      </c>
      <c r="G71" s="19" t="n">
        <f aca="false">IF(OR(G$67&lt;=Inputs!$C$9,$C$55="renew"),IF(AND($C$58&gt;0,G$67&gt;=$C$58),$C$59,Inputs!$C$16),IF($C$55="stranded",0,Inputs!$C$16))</f>
        <v>0.8</v>
      </c>
      <c r="H71" s="19" t="n">
        <f aca="false">IF(OR(H$67&lt;=Inputs!$C$9,$C$55="renew"),IF(AND($C$58&gt;0,H$67&gt;=$C$58),$C$59,Inputs!$C$16),IF($C$55="stranded",0,Inputs!$C$16))</f>
        <v>0.8</v>
      </c>
      <c r="I71" s="19" t="n">
        <f aca="false">IF(OR(I$67&lt;=Inputs!$C$9,$C$55="renew"),IF(AND($C$58&gt;0,I$67&gt;=$C$58),$C$59,Inputs!$C$16),IF($C$55="stranded",0,Inputs!$C$16))</f>
        <v>0.8</v>
      </c>
      <c r="J71" s="19" t="n">
        <f aca="false">IF(OR(J$67&lt;=Inputs!$C$9,$C$55="renew"),IF(AND($C$58&gt;0,J$67&gt;=$C$58),$C$59,Inputs!$C$16),IF($C$55="stranded",0,Inputs!$C$16))</f>
        <v>0.8</v>
      </c>
      <c r="K71" s="19" t="n">
        <f aca="false">IF(OR(K$67&lt;=Inputs!$C$9,$C$55="renew"),IF(AND($C$58&gt;0,K$67&gt;=$C$58),$C$59,Inputs!$C$16),IF($C$55="stranded",0,Inputs!$C$16))</f>
        <v>0.8</v>
      </c>
      <c r="L71" s="19" t="n">
        <f aca="false">IF(OR(L$67&lt;=Inputs!$C$9,$C$55="renew"),IF(AND($C$58&gt;0,L$67&gt;=$C$58),$C$59,Inputs!$C$16),IF($C$55="stranded",0,Inputs!$C$16))</f>
        <v>0.8</v>
      </c>
      <c r="M71" s="19" t="n">
        <f aca="false">IF(OR(M$67&lt;=Inputs!$C$9,$C$55="renew"),IF(AND($C$58&gt;0,M$67&gt;=$C$58),$C$59,Inputs!$C$16),IF($C$55="stranded",0,Inputs!$C$16))</f>
        <v>0.8</v>
      </c>
      <c r="N71" s="19" t="n">
        <f aca="false">IF(OR(N$67&lt;=Inputs!$C$9,$C$55="renew"),IF(AND($C$58&gt;0,N$67&gt;=$C$58),$C$59,Inputs!$C$16),IF($C$55="stranded",0,Inputs!$C$16))</f>
        <v>0.8</v>
      </c>
      <c r="O71" s="19" t="n">
        <f aca="false">IF(OR(O$67&lt;=Inputs!$C$9,$C$55="renew"),IF(AND($C$58&gt;0,O$67&gt;=$C$58),$C$59,Inputs!$C$16),IF($C$55="stranded",0,Inputs!$C$16))</f>
        <v>0.8</v>
      </c>
    </row>
    <row r="72" customFormat="false" ht="15" hidden="false" customHeight="false" outlineLevel="0" collapsed="false">
      <c r="B72" s="9" t="s">
        <v>146</v>
      </c>
      <c r="E72" s="22" t="n">
        <f aca="false">IF(OR(E$67&lt;=Inputs!$C$9,$C$55="renew"),IF(AND($C$58&gt;0,E$67&gt;=$C$58),$C$60,$C$62),IF($C$55="retrofit",Inputs!$C$47,IF($C$55="relet",Inputs!$C$53,0)))</f>
        <v>1.4</v>
      </c>
      <c r="F72" s="22" t="n">
        <f aca="false">IF(OR(F$67&lt;=Inputs!$C$9,$C$55="renew"),IF(AND($C$58&gt;0,F$67&gt;=$C$58),$C$60,$C$62),IF($C$55="retrofit",Inputs!$C$47,IF($C$55="relet",Inputs!$C$53,0)))</f>
        <v>1.4</v>
      </c>
      <c r="G72" s="22" t="n">
        <f aca="false">IF(OR(G$67&lt;=Inputs!$C$9,$C$55="renew"),IF(AND($C$58&gt;0,G$67&gt;=$C$58),$C$60,$C$62),IF($C$55="retrofit",Inputs!$C$47,IF($C$55="relet",Inputs!$C$53,0)))</f>
        <v>1.4</v>
      </c>
      <c r="H72" s="22" t="n">
        <f aca="false">IF(OR(H$67&lt;=Inputs!$C$9,$C$55="renew"),IF(AND($C$58&gt;0,H$67&gt;=$C$58),$C$60,$C$62),IF($C$55="retrofit",Inputs!$C$47,IF($C$55="relet",Inputs!$C$53,0)))</f>
        <v>1.4</v>
      </c>
      <c r="I72" s="22" t="n">
        <f aca="false">IF(OR(I$67&lt;=Inputs!$C$9,$C$55="renew"),IF(AND($C$58&gt;0,I$67&gt;=$C$58),$C$60,$C$62),IF($C$55="retrofit",Inputs!$C$47,IF($C$55="relet",Inputs!$C$53,0)))</f>
        <v>1.4</v>
      </c>
      <c r="J72" s="22" t="n">
        <f aca="false">IF(OR(J$67&lt;=Inputs!$C$9,$C$55="renew"),IF(AND($C$58&gt;0,J$67&gt;=$C$58),$C$60,$C$62),IF($C$55="retrofit",Inputs!$C$47,IF($C$55="relet",Inputs!$C$53,0)))</f>
        <v>1.4</v>
      </c>
      <c r="K72" s="22" t="n">
        <f aca="false">IF(OR(K$67&lt;=Inputs!$C$9,$C$55="renew"),IF(AND($C$58&gt;0,K$67&gt;=$C$58),$C$60,$C$62),IF($C$55="retrofit",Inputs!$C$47,IF($C$55="relet",Inputs!$C$53,0)))</f>
        <v>1.4</v>
      </c>
      <c r="L72" s="22" t="n">
        <f aca="false">IF(OR(L$67&lt;=Inputs!$C$9,$C$55="renew"),IF(AND($C$58&gt;0,L$67&gt;=$C$58),$C$60,$C$62),IF($C$55="retrofit",Inputs!$C$47,IF($C$55="relet",Inputs!$C$53,0)))</f>
        <v>1.4</v>
      </c>
      <c r="M72" s="22" t="n">
        <f aca="false">IF(OR(M$67&lt;=Inputs!$C$9,$C$55="renew"),IF(AND($C$58&gt;0,M$67&gt;=$C$58),$C$60,$C$62),IF($C$55="retrofit",Inputs!$C$47,IF($C$55="relet",Inputs!$C$53,0)))</f>
        <v>1.45</v>
      </c>
      <c r="N72" s="22" t="n">
        <f aca="false">IF(OR(N$67&lt;=Inputs!$C$9,$C$55="renew"),IF(AND($C$58&gt;0,N$67&gt;=$C$58),$C$60,$C$62),IF($C$55="retrofit",Inputs!$C$47,IF($C$55="relet",Inputs!$C$53,0)))</f>
        <v>1.45</v>
      </c>
      <c r="O72" s="22" t="n">
        <f aca="false">IF(OR(O$67&lt;=Inputs!$C$9,$C$55="renew"),IF(AND($C$58&gt;0,O$67&gt;=$C$58),$C$60,$C$62),IF($C$55="retrofit",Inputs!$C$47,IF($C$55="relet",Inputs!$C$53,0)))</f>
        <v>1.45</v>
      </c>
    </row>
    <row r="73" customFormat="false" ht="15" hidden="false" customHeight="false" outlineLevel="0" collapsed="false">
      <c r="B73" s="9" t="s">
        <v>147</v>
      </c>
      <c r="E73" s="21" t="n">
        <f aca="false">IF(OR(E$67&lt;=Inputs!$C$9,$C$55="renew"),1,IF($C$55="retrofit",IF(E$67-Inputs!$C$9=1,0,1),IF($C$55="relet",CHOOSE(MIN(E$67-Inputs!$C$9,3),Inputs!$C$50,Inputs!$C$51,Inputs!$C$52),0)))</f>
        <v>1</v>
      </c>
      <c r="F73" s="21" t="n">
        <f aca="false">IF(OR(F$67&lt;=Inputs!$C$9,$C$55="renew"),1,IF($C$55="retrofit",IF(F$67-Inputs!$C$9=1,0,1),IF($C$55="relet",CHOOSE(MIN(F$67-Inputs!$C$9,3),Inputs!$C$50,Inputs!$C$51,Inputs!$C$52),0)))</f>
        <v>1</v>
      </c>
      <c r="G73" s="21" t="n">
        <f aca="false">IF(OR(G$67&lt;=Inputs!$C$9,$C$55="renew"),1,IF($C$55="retrofit",IF(G$67-Inputs!$C$9=1,0,1),IF($C$55="relet",CHOOSE(MIN(G$67-Inputs!$C$9,3),Inputs!$C$50,Inputs!$C$51,Inputs!$C$52),0)))</f>
        <v>1</v>
      </c>
      <c r="H73" s="21" t="n">
        <f aca="false">IF(OR(H$67&lt;=Inputs!$C$9,$C$55="renew"),1,IF($C$55="retrofit",IF(H$67-Inputs!$C$9=1,0,1),IF($C$55="relet",CHOOSE(MIN(H$67-Inputs!$C$9,3),Inputs!$C$50,Inputs!$C$51,Inputs!$C$52),0)))</f>
        <v>1</v>
      </c>
      <c r="I73" s="21" t="n">
        <f aca="false">IF(OR(I$67&lt;=Inputs!$C$9,$C$55="renew"),1,IF($C$55="retrofit",IF(I$67-Inputs!$C$9=1,0,1),IF($C$55="relet",CHOOSE(MIN(I$67-Inputs!$C$9,3),Inputs!$C$50,Inputs!$C$51,Inputs!$C$52),0)))</f>
        <v>1</v>
      </c>
      <c r="J73" s="21" t="n">
        <f aca="false">IF(OR(J$67&lt;=Inputs!$C$9,$C$55="renew"),1,IF($C$55="retrofit",IF(J$67-Inputs!$C$9=1,0,1),IF($C$55="relet",CHOOSE(MIN(J$67-Inputs!$C$9,3),Inputs!$C$50,Inputs!$C$51,Inputs!$C$52),0)))</f>
        <v>1</v>
      </c>
      <c r="K73" s="21" t="n">
        <f aca="false">IF(OR(K$67&lt;=Inputs!$C$9,$C$55="renew"),1,IF($C$55="retrofit",IF(K$67-Inputs!$C$9=1,0,1),IF($C$55="relet",CHOOSE(MIN(K$67-Inputs!$C$9,3),Inputs!$C$50,Inputs!$C$51,Inputs!$C$52),0)))</f>
        <v>1</v>
      </c>
      <c r="L73" s="21" t="n">
        <f aca="false">IF(OR(L$67&lt;=Inputs!$C$9,$C$55="renew"),1,IF($C$55="retrofit",IF(L$67-Inputs!$C$9=1,0,1),IF($C$55="relet",CHOOSE(MIN(L$67-Inputs!$C$9,3),Inputs!$C$50,Inputs!$C$51,Inputs!$C$52),0)))</f>
        <v>1</v>
      </c>
      <c r="M73" s="21" t="n">
        <f aca="false">IF(OR(M$67&lt;=Inputs!$C$9,$C$55="renew"),1,IF($C$55="retrofit",IF(M$67-Inputs!$C$9=1,0,1),IF($C$55="relet",CHOOSE(MIN(M$67-Inputs!$C$9,3),Inputs!$C$50,Inputs!$C$51,Inputs!$C$52),0)))</f>
        <v>0</v>
      </c>
      <c r="N73" s="21" t="n">
        <f aca="false">IF(OR(N$67&lt;=Inputs!$C$9,$C$55="renew"),1,IF($C$55="retrofit",IF(N$67-Inputs!$C$9=1,0,1),IF($C$55="relet",CHOOSE(MIN(N$67-Inputs!$C$9,3),Inputs!$C$50,Inputs!$C$51,Inputs!$C$52),0)))</f>
        <v>0.55</v>
      </c>
      <c r="O73" s="21" t="n">
        <f aca="false">IF(OR(O$67&lt;=Inputs!$C$9,$C$55="renew"),1,IF($C$55="retrofit",IF(O$67-Inputs!$C$9=1,0,1),IF($C$55="relet",CHOOSE(MIN(O$67-Inputs!$C$9,3),Inputs!$C$50,Inputs!$C$51,Inputs!$C$52),0)))</f>
        <v>0.85</v>
      </c>
    </row>
    <row r="74" customFormat="false" ht="15" hidden="false" customHeight="false" outlineLevel="0" collapsed="false">
      <c r="B74" s="9" t="s">
        <v>148</v>
      </c>
      <c r="E74" s="28" t="n">
        <f aca="false">Inputs!$C$6*1000*E71*E73*8760/1000</f>
        <v>224256</v>
      </c>
      <c r="F74" s="28" t="n">
        <f aca="false">Inputs!$C$6*1000*F71*F73*8760/1000</f>
        <v>224256</v>
      </c>
      <c r="G74" s="28" t="n">
        <f aca="false">Inputs!$C$6*1000*G71*G73*8760/1000</f>
        <v>224256</v>
      </c>
      <c r="H74" s="28" t="n">
        <f aca="false">Inputs!$C$6*1000*H71*H73*8760/1000</f>
        <v>224256</v>
      </c>
      <c r="I74" s="28" t="n">
        <f aca="false">Inputs!$C$6*1000*I71*I73*8760/1000</f>
        <v>224256</v>
      </c>
      <c r="J74" s="28" t="n">
        <f aca="false">Inputs!$C$6*1000*J71*J73*8760/1000</f>
        <v>224256</v>
      </c>
      <c r="K74" s="28" t="n">
        <f aca="false">Inputs!$C$6*1000*K71*K73*8760/1000</f>
        <v>224256</v>
      </c>
      <c r="L74" s="28" t="n">
        <f aca="false">Inputs!$C$6*1000*L71*L73*8760/1000</f>
        <v>224256</v>
      </c>
      <c r="M74" s="28" t="n">
        <f aca="false">Inputs!$C$6*1000*M71*M73*8760/1000</f>
        <v>0</v>
      </c>
      <c r="N74" s="28" t="n">
        <f aca="false">Inputs!$C$6*1000*N71*N73*8760/1000</f>
        <v>123340.8</v>
      </c>
      <c r="O74" s="28" t="n">
        <f aca="false">Inputs!$C$6*1000*O71*O73*8760/1000</f>
        <v>190617.6</v>
      </c>
    </row>
    <row r="75" customFormat="false" ht="15" hidden="false" customHeight="false" outlineLevel="0" collapsed="false">
      <c r="B75" s="9" t="s">
        <v>149</v>
      </c>
      <c r="E75" s="24" t="n">
        <f aca="false">IF(E$67&lt;=Inputs!$C$9,Inputs!$C$6*1000*Inputs!$C$7*12*(1+Inputs!$C$8)^(E$67-1)/1000000,IF($C$55="renew",$C$66*$C$63*(1+Inputs!$C$8)^(E$67-Inputs!$C$9-1),IF($C$55="retrofit",IF(E$67-Inputs!$C$9=1,0,Inputs!$C$6*1000*Inputs!$C$46*12*(1+Inputs!$C$8)^(E$67-Inputs!$C$9-2)/1000000),IF($C$55="relet",Inputs!$C$6*1000*E73*$C$64*12*(1+Inputs!$C$8)^(E$67-Inputs!$C$9-2)/1000000,0))))</f>
        <v>52.992</v>
      </c>
      <c r="F75" s="24" t="n">
        <f aca="false">IF(F$67&lt;=Inputs!$C$9,Inputs!$C$6*1000*Inputs!$C$7*12*(1+Inputs!$C$8)^(F$67-1)/1000000,IF($C$55="renew",$C$66*$C$63*(1+Inputs!$C$8)^(F$67-Inputs!$C$9-1),IF($C$55="retrofit",IF(F$67-Inputs!$C$9=1,0,Inputs!$C$6*1000*Inputs!$C$46*12*(1+Inputs!$C$8)^(F$67-Inputs!$C$9-2)/1000000),IF($C$55="relet",Inputs!$C$6*1000*F73*$C$64*12*(1+Inputs!$C$8)^(F$67-Inputs!$C$9-2)/1000000,0))))</f>
        <v>54.05184</v>
      </c>
      <c r="G75" s="24" t="n">
        <f aca="false">IF(G$67&lt;=Inputs!$C$9,Inputs!$C$6*1000*Inputs!$C$7*12*(1+Inputs!$C$8)^(G$67-1)/1000000,IF($C$55="renew",$C$66*$C$63*(1+Inputs!$C$8)^(G$67-Inputs!$C$9-1),IF($C$55="retrofit",IF(G$67-Inputs!$C$9=1,0,Inputs!$C$6*1000*Inputs!$C$46*12*(1+Inputs!$C$8)^(G$67-Inputs!$C$9-2)/1000000),IF($C$55="relet",Inputs!$C$6*1000*G73*$C$64*12*(1+Inputs!$C$8)^(G$67-Inputs!$C$9-2)/1000000,0))))</f>
        <v>55.1328768</v>
      </c>
      <c r="H75" s="24" t="n">
        <f aca="false">IF(H$67&lt;=Inputs!$C$9,Inputs!$C$6*1000*Inputs!$C$7*12*(1+Inputs!$C$8)^(H$67-1)/1000000,IF($C$55="renew",$C$66*$C$63*(1+Inputs!$C$8)^(H$67-Inputs!$C$9-1),IF($C$55="retrofit",IF(H$67-Inputs!$C$9=1,0,Inputs!$C$6*1000*Inputs!$C$46*12*(1+Inputs!$C$8)^(H$67-Inputs!$C$9-2)/1000000),IF($C$55="relet",Inputs!$C$6*1000*H73*$C$64*12*(1+Inputs!$C$8)^(H$67-Inputs!$C$9-2)/1000000,0))))</f>
        <v>56.235534336</v>
      </c>
      <c r="I75" s="24" t="n">
        <f aca="false">IF(I$67&lt;=Inputs!$C$9,Inputs!$C$6*1000*Inputs!$C$7*12*(1+Inputs!$C$8)^(I$67-1)/1000000,IF($C$55="renew",$C$66*$C$63*(1+Inputs!$C$8)^(I$67-Inputs!$C$9-1),IF($C$55="retrofit",IF(I$67-Inputs!$C$9=1,0,Inputs!$C$6*1000*Inputs!$C$46*12*(1+Inputs!$C$8)^(I$67-Inputs!$C$9-2)/1000000),IF($C$55="relet",Inputs!$C$6*1000*I73*$C$64*12*(1+Inputs!$C$8)^(I$67-Inputs!$C$9-2)/1000000,0))))</f>
        <v>57.36024502272</v>
      </c>
      <c r="J75" s="24" t="n">
        <f aca="false">IF(J$67&lt;=Inputs!$C$9,Inputs!$C$6*1000*Inputs!$C$7*12*(1+Inputs!$C$8)^(J$67-1)/1000000,IF($C$55="renew",$C$66*$C$63*(1+Inputs!$C$8)^(J$67-Inputs!$C$9-1),IF($C$55="retrofit",IF(J$67-Inputs!$C$9=1,0,Inputs!$C$6*1000*Inputs!$C$46*12*(1+Inputs!$C$8)^(J$67-Inputs!$C$9-2)/1000000),IF($C$55="relet",Inputs!$C$6*1000*J73*$C$64*12*(1+Inputs!$C$8)^(J$67-Inputs!$C$9-2)/1000000,0))))</f>
        <v>58.5074499231744</v>
      </c>
      <c r="K75" s="24" t="n">
        <f aca="false">IF(K$67&lt;=Inputs!$C$9,Inputs!$C$6*1000*Inputs!$C$7*12*(1+Inputs!$C$8)^(K$67-1)/1000000,IF($C$55="renew",$C$66*$C$63*(1+Inputs!$C$8)^(K$67-Inputs!$C$9-1),IF($C$55="retrofit",IF(K$67-Inputs!$C$9=1,0,Inputs!$C$6*1000*Inputs!$C$46*12*(1+Inputs!$C$8)^(K$67-Inputs!$C$9-2)/1000000),IF($C$55="relet",Inputs!$C$6*1000*K73*$C$64*12*(1+Inputs!$C$8)^(K$67-Inputs!$C$9-2)/1000000,0))))</f>
        <v>59.6775989216379</v>
      </c>
      <c r="L75" s="24" t="n">
        <f aca="false">IF(L$67&lt;=Inputs!$C$9,Inputs!$C$6*1000*Inputs!$C$7*12*(1+Inputs!$C$8)^(L$67-1)/1000000,IF($C$55="renew",$C$66*$C$63*(1+Inputs!$C$8)^(L$67-Inputs!$C$9-1),IF($C$55="retrofit",IF(L$67-Inputs!$C$9=1,0,Inputs!$C$6*1000*Inputs!$C$46*12*(1+Inputs!$C$8)^(L$67-Inputs!$C$9-2)/1000000),IF($C$55="relet",Inputs!$C$6*1000*L73*$C$64*12*(1+Inputs!$C$8)^(L$67-Inputs!$C$9-2)/1000000,0))))</f>
        <v>60.8711509000706</v>
      </c>
      <c r="M75" s="24" t="n">
        <f aca="false">IF(M$67&lt;=Inputs!$C$9,Inputs!$C$6*1000*Inputs!$C$7*12*(1+Inputs!$C$8)^(M$67-1)/1000000,IF($C$55="renew",$C$66*$C$63*(1+Inputs!$C$8)^(M$67-Inputs!$C$9-1),IF($C$55="retrofit",IF(M$67-Inputs!$C$9=1,0,Inputs!$C$6*1000*Inputs!$C$46*12*(1+Inputs!$C$8)^(M$67-Inputs!$C$9-2)/1000000),IF($C$55="relet",Inputs!$C$6*1000*M73*$C$64*12*(1+Inputs!$C$8)^(M$67-Inputs!$C$9-2)/1000000,0))))</f>
        <v>0</v>
      </c>
      <c r="N75" s="24" t="n">
        <f aca="false">IF(N$67&lt;=Inputs!$C$9,Inputs!$C$6*1000*Inputs!$C$7*12*(1+Inputs!$C$8)^(N$67-1)/1000000,IF($C$55="renew",$C$66*$C$63*(1+Inputs!$C$8)^(N$67-Inputs!$C$9-1),IF($C$55="retrofit",IF(N$67-Inputs!$C$9=1,0,Inputs!$C$6*1000*Inputs!$C$46*12*(1+Inputs!$C$8)^(N$67-Inputs!$C$9-2)/1000000),IF($C$55="relet",Inputs!$C$6*1000*N73*$C$64*12*(1+Inputs!$C$8)^(N$67-Inputs!$C$9-2)/1000000,0))))</f>
        <v>25.344</v>
      </c>
      <c r="O75" s="24" t="n">
        <f aca="false">IF(O$67&lt;=Inputs!$C$9,Inputs!$C$6*1000*Inputs!$C$7*12*(1+Inputs!$C$8)^(O$67-1)/1000000,IF($C$55="renew",$C$66*$C$63*(1+Inputs!$C$8)^(O$67-Inputs!$C$9-1),IF($C$55="retrofit",IF(O$67-Inputs!$C$9=1,0,Inputs!$C$6*1000*Inputs!$C$46*12*(1+Inputs!$C$8)^(O$67-Inputs!$C$9-2)/1000000),IF($C$55="relet",Inputs!$C$6*1000*O73*$C$64*12*(1+Inputs!$C$8)^(O$67-Inputs!$C$9-2)/1000000,0))))</f>
        <v>39.95136</v>
      </c>
    </row>
    <row r="76" customFormat="false" ht="15" hidden="false" customHeight="false" outlineLevel="0" collapsed="false">
      <c r="B76" s="9" t="s">
        <v>150</v>
      </c>
      <c r="E76" s="24" t="n">
        <f aca="false">IF(OR(E$67&lt;=Inputs!$C$9,$C$55="renew"),E74*(Inputs!$C$17*E69-E72*E68)/1000000,E74*E72*Inputs!$C$27/1000000)</f>
        <v>2.4219648</v>
      </c>
      <c r="F76" s="24" t="n">
        <f aca="false">IF(OR(F$67&lt;=Inputs!$C$9,$C$55="renew"),F74*(Inputs!$C$17*F69-F72*F68)/1000000,F74*F72*Inputs!$C$27/1000000)</f>
        <v>2.853433344</v>
      </c>
      <c r="G76" s="24" t="n">
        <f aca="false">IF(OR(G$67&lt;=Inputs!$C$9,$C$55="renew"),G74*(Inputs!$C$17*G69-G72*G68)/1000000,G74*G72*Inputs!$C$27/1000000)</f>
        <v>3.29353125888</v>
      </c>
      <c r="H76" s="24" t="n">
        <f aca="false">IF(OR(H$67&lt;=Inputs!$C$9,$C$55="renew"),H74*(Inputs!$C$17*H69-H72*H68)/1000000,H74*H72*Inputs!$C$27/1000000)</f>
        <v>3.74243113205761</v>
      </c>
      <c r="I76" s="24" t="n">
        <f aca="false">IF(OR(I$67&lt;=Inputs!$C$9,$C$55="renew"),I74*(Inputs!$C$17*I69-I72*I68)/1000000,I74*I72*Inputs!$C$27/1000000)</f>
        <v>2.31655860269875</v>
      </c>
      <c r="J76" s="24" t="n">
        <f aca="false">IF(OR(J$67&lt;=Inputs!$C$9,$C$55="renew"),J74*(Inputs!$C$17*J69-J72*J68)/1000000,J74*J72*Inputs!$C$27/1000000)</f>
        <v>2.25771371075273</v>
      </c>
      <c r="K76" s="24" t="n">
        <f aca="false">IF(OR(K$67&lt;=Inputs!$C$9,$C$55="renew"),K74*(Inputs!$C$17*K69-K72*K68)/1000000,K74*K72*Inputs!$C$27/1000000)</f>
        <v>2.19506251936779</v>
      </c>
      <c r="L76" s="24" t="n">
        <f aca="false">IF(OR(L$67&lt;=Inputs!$C$9,$C$55="renew"),L74*(Inputs!$C$17*L69-L72*L68)/1000000,L74*L72*Inputs!$C$27/1000000)</f>
        <v>2.12846316751515</v>
      </c>
      <c r="M76" s="24" t="n">
        <f aca="false">IF(OR(M$67&lt;=Inputs!$C$9,$C$55="renew"),M74*(Inputs!$C$17*M69-M72*M68)/1000000,M74*M72*Inputs!$C$27/1000000)</f>
        <v>0</v>
      </c>
      <c r="N76" s="24" t="n">
        <f aca="false">IF(OR(N$67&lt;=Inputs!$C$9,$C$55="renew"),N74*(Inputs!$C$17*N69-N72*N68)/1000000,N74*N72*Inputs!$C$27/1000000)</f>
        <v>0.53653248</v>
      </c>
      <c r="O76" s="24" t="n">
        <f aca="false">IF(OR(O$67&lt;=Inputs!$C$9,$C$55="renew"),O74*(Inputs!$C$17*O69-O72*O68)/1000000,O74*O72*Inputs!$C$27/1000000)</f>
        <v>0.82918656</v>
      </c>
    </row>
    <row r="77" customFormat="false" ht="15" hidden="false" customHeight="false" outlineLevel="0" collapsed="false">
      <c r="B77" s="9" t="s">
        <v>151</v>
      </c>
      <c r="E77" s="24" t="n">
        <f aca="false">Inputs!$C$10*E70*IF(OR(E$67&lt;=Inputs!$C$9,$C$55="renew"),1,IF($C$55="retrofit",IF(E$67-Inputs!$C$9=1,Inputs!$C$48,1),IF($C$55="relet",Inputs!$C$54,Inputs!$C$56)))</f>
        <v>4.1</v>
      </c>
      <c r="F77" s="24" t="n">
        <f aca="false">Inputs!$C$10*F70*IF(OR(F$67&lt;=Inputs!$C$9,$C$55="renew"),1,IF($C$55="retrofit",IF(F$67-Inputs!$C$9=1,Inputs!$C$48,1),IF($C$55="relet",Inputs!$C$54,Inputs!$C$56)))</f>
        <v>4.223</v>
      </c>
      <c r="G77" s="24" t="n">
        <f aca="false">Inputs!$C$10*G70*IF(OR(G$67&lt;=Inputs!$C$9,$C$55="renew"),1,IF($C$55="retrofit",IF(G$67-Inputs!$C$9=1,Inputs!$C$48,1),IF($C$55="relet",Inputs!$C$54,Inputs!$C$56)))</f>
        <v>4.34969</v>
      </c>
      <c r="H77" s="24" t="n">
        <f aca="false">Inputs!$C$10*H70*IF(OR(H$67&lt;=Inputs!$C$9,$C$55="renew"),1,IF($C$55="retrofit",IF(H$67-Inputs!$C$9=1,Inputs!$C$48,1),IF($C$55="relet",Inputs!$C$54,Inputs!$C$56)))</f>
        <v>4.4801807</v>
      </c>
      <c r="I77" s="24" t="n">
        <f aca="false">Inputs!$C$10*I70*IF(OR(I$67&lt;=Inputs!$C$9,$C$55="renew"),1,IF($C$55="retrofit",IF(I$67-Inputs!$C$9=1,Inputs!$C$48,1),IF($C$55="relet",Inputs!$C$54,Inputs!$C$56)))</f>
        <v>4.614586121</v>
      </c>
      <c r="J77" s="24" t="n">
        <f aca="false">Inputs!$C$10*J70*IF(OR(J$67&lt;=Inputs!$C$9,$C$55="renew"),1,IF($C$55="retrofit",IF(J$67-Inputs!$C$9=1,Inputs!$C$48,1),IF($C$55="relet",Inputs!$C$54,Inputs!$C$56)))</f>
        <v>4.75302370463</v>
      </c>
      <c r="K77" s="24" t="n">
        <f aca="false">Inputs!$C$10*K70*IF(OR(K$67&lt;=Inputs!$C$9,$C$55="renew"),1,IF($C$55="retrofit",IF(K$67-Inputs!$C$9=1,Inputs!$C$48,1),IF($C$55="relet",Inputs!$C$54,Inputs!$C$56)))</f>
        <v>4.8956144157689</v>
      </c>
      <c r="L77" s="24" t="n">
        <f aca="false">Inputs!$C$10*L70*IF(OR(L$67&lt;=Inputs!$C$9,$C$55="renew"),1,IF($C$55="retrofit",IF(L$67-Inputs!$C$9=1,Inputs!$C$48,1),IF($C$55="relet",Inputs!$C$54,Inputs!$C$56)))</f>
        <v>5.04248284824197</v>
      </c>
      <c r="M77" s="24" t="n">
        <f aca="false">Inputs!$C$10*M70*IF(OR(M$67&lt;=Inputs!$C$9,$C$55="renew"),1,IF($C$55="retrofit",IF(M$67-Inputs!$C$9=1,Inputs!$C$48,1),IF($C$55="relet",Inputs!$C$54,Inputs!$C$56)))</f>
        <v>6.49219666711153</v>
      </c>
      <c r="N77" s="24" t="n">
        <f aca="false">Inputs!$C$10*N70*IF(OR(N$67&lt;=Inputs!$C$9,$C$55="renew"),1,IF($C$55="retrofit",IF(N$67-Inputs!$C$9=1,Inputs!$C$48,1),IF($C$55="relet",Inputs!$C$54,Inputs!$C$56)))</f>
        <v>6.68696256712488</v>
      </c>
      <c r="O77" s="24" t="n">
        <f aca="false">Inputs!$C$10*O70*IF(OR(O$67&lt;=Inputs!$C$9,$C$55="renew"),1,IF($C$55="retrofit",IF(O$67-Inputs!$C$9=1,Inputs!$C$48,1),IF($C$55="relet",Inputs!$C$54,Inputs!$C$56)))</f>
        <v>6.88757144413863</v>
      </c>
    </row>
    <row r="78" customFormat="false" ht="15" hidden="false" customHeight="false" outlineLevel="0" collapsed="false">
      <c r="B78" s="9" t="s">
        <v>152</v>
      </c>
      <c r="E78" s="24" t="n">
        <f aca="false">IF(E$67&gt;=$C$57,Inputs!$C$30*1000*Inputs!$C$34*12*(1+Inputs!$C$8)^(E$67-$C$57)/1000000*IF(AND(E$67=$C$57,$C$57&gt;Inputs!$C$33),1-MIN(12,Inputs!$C$35*($C$57-Inputs!$C$33)*12)/12,1),0)</f>
        <v>0</v>
      </c>
      <c r="F78" s="24" t="n">
        <f aca="false">IF(F$67&gt;=$C$57,Inputs!$C$30*1000*Inputs!$C$34*12*(1+Inputs!$C$8)^(F$67-$C$57)/1000000*IF(AND(F$67=$C$57,$C$57&gt;Inputs!$C$33),1-MIN(12,Inputs!$C$35*($C$57-Inputs!$C$33)*12)/12,1),0)</f>
        <v>0</v>
      </c>
      <c r="G78" s="24" t="n">
        <f aca="false">IF(G$67&gt;=$C$57,Inputs!$C$30*1000*Inputs!$C$34*12*(1+Inputs!$C$8)^(G$67-$C$57)/1000000*IF(AND(G$67=$C$57,$C$57&gt;Inputs!$C$33),1-MIN(12,Inputs!$C$35*($C$57-Inputs!$C$33)*12)/12,1),0)</f>
        <v>29.184</v>
      </c>
      <c r="H78" s="24" t="n">
        <f aca="false">IF(H$67&gt;=$C$57,Inputs!$C$30*1000*Inputs!$C$34*12*(1+Inputs!$C$8)^(H$67-$C$57)/1000000*IF(AND(H$67=$C$57,$C$57&gt;Inputs!$C$33),1-MIN(12,Inputs!$C$35*($C$57-Inputs!$C$33)*12)/12,1),0)</f>
        <v>29.76768</v>
      </c>
      <c r="I78" s="24" t="n">
        <f aca="false">IF(I$67&gt;=$C$57,Inputs!$C$30*1000*Inputs!$C$34*12*(1+Inputs!$C$8)^(I$67-$C$57)/1000000*IF(AND(I$67=$C$57,$C$57&gt;Inputs!$C$33),1-MIN(12,Inputs!$C$35*($C$57-Inputs!$C$33)*12)/12,1),0)</f>
        <v>30.3630336</v>
      </c>
      <c r="J78" s="24" t="n">
        <f aca="false">IF(J$67&gt;=$C$57,Inputs!$C$30*1000*Inputs!$C$34*12*(1+Inputs!$C$8)^(J$67-$C$57)/1000000*IF(AND(J$67=$C$57,$C$57&gt;Inputs!$C$33),1-MIN(12,Inputs!$C$35*($C$57-Inputs!$C$33)*12)/12,1),0)</f>
        <v>30.970294272</v>
      </c>
      <c r="K78" s="24" t="n">
        <f aca="false">IF(K$67&gt;=$C$57,Inputs!$C$30*1000*Inputs!$C$34*12*(1+Inputs!$C$8)^(K$67-$C$57)/1000000*IF(AND(K$67=$C$57,$C$57&gt;Inputs!$C$33),1-MIN(12,Inputs!$C$35*($C$57-Inputs!$C$33)*12)/12,1),0)</f>
        <v>31.58970015744</v>
      </c>
      <c r="L78" s="24" t="n">
        <f aca="false">IF(L$67&gt;=$C$57,Inputs!$C$30*1000*Inputs!$C$34*12*(1+Inputs!$C$8)^(L$67-$C$57)/1000000*IF(AND(L$67=$C$57,$C$57&gt;Inputs!$C$33),1-MIN(12,Inputs!$C$35*($C$57-Inputs!$C$33)*12)/12,1),0)</f>
        <v>32.2214941605888</v>
      </c>
      <c r="M78" s="24" t="n">
        <f aca="false">IF(M$67&gt;=$C$57,Inputs!$C$30*1000*Inputs!$C$34*12*(1+Inputs!$C$8)^(M$67-$C$57)/1000000*IF(AND(M$67=$C$57,$C$57&gt;Inputs!$C$33),1-MIN(12,Inputs!$C$35*($C$57-Inputs!$C$33)*12)/12,1),0)</f>
        <v>32.8659240438006</v>
      </c>
      <c r="N78" s="24" t="n">
        <f aca="false">IF(N$67&gt;=$C$57,Inputs!$C$30*1000*Inputs!$C$34*12*(1+Inputs!$C$8)^(N$67-$C$57)/1000000*IF(AND(N$67=$C$57,$C$57&gt;Inputs!$C$33),1-MIN(12,Inputs!$C$35*($C$57-Inputs!$C$33)*12)/12,1),0)</f>
        <v>33.5232425246766</v>
      </c>
      <c r="O78" s="24" t="n">
        <f aca="false">IF(O$67&gt;=$C$57,Inputs!$C$30*1000*Inputs!$C$34*12*(1+Inputs!$C$8)^(O$67-$C$57)/1000000*IF(AND(O$67=$C$57,$C$57&gt;Inputs!$C$33),1-MIN(12,Inputs!$C$35*($C$57-Inputs!$C$33)*12)/12,1),0)</f>
        <v>34.1937073751701</v>
      </c>
    </row>
    <row r="79" customFormat="false" ht="15" hidden="false" customHeight="false" outlineLevel="0" collapsed="false">
      <c r="B79" s="9" t="s">
        <v>153</v>
      </c>
      <c r="E79" s="28" t="n">
        <f aca="false">IF(E$67&gt;=$C$57,Inputs!$C$30*1000*Inputs!$C$16*8760/1000,0)</f>
        <v>0</v>
      </c>
      <c r="F79" s="28" t="n">
        <f aca="false">IF(F$67&gt;=$C$57,Inputs!$C$30*1000*Inputs!$C$16*8760/1000,0)</f>
        <v>0</v>
      </c>
      <c r="G79" s="28" t="n">
        <f aca="false">IF(G$67&gt;=$C$57,Inputs!$C$30*1000*Inputs!$C$16*8760/1000,0)</f>
        <v>112128</v>
      </c>
      <c r="H79" s="28" t="n">
        <f aca="false">IF(H$67&gt;=$C$57,Inputs!$C$30*1000*Inputs!$C$16*8760/1000,0)</f>
        <v>112128</v>
      </c>
      <c r="I79" s="28" t="n">
        <f aca="false">IF(I$67&gt;=$C$57,Inputs!$C$30*1000*Inputs!$C$16*8760/1000,0)</f>
        <v>112128</v>
      </c>
      <c r="J79" s="28" t="n">
        <f aca="false">IF(J$67&gt;=$C$57,Inputs!$C$30*1000*Inputs!$C$16*8760/1000,0)</f>
        <v>112128</v>
      </c>
      <c r="K79" s="28" t="n">
        <f aca="false">IF(K$67&gt;=$C$57,Inputs!$C$30*1000*Inputs!$C$16*8760/1000,0)</f>
        <v>112128</v>
      </c>
      <c r="L79" s="28" t="n">
        <f aca="false">IF(L$67&gt;=$C$57,Inputs!$C$30*1000*Inputs!$C$16*8760/1000,0)</f>
        <v>112128</v>
      </c>
      <c r="M79" s="28" t="n">
        <f aca="false">IF(M$67&gt;=$C$57,Inputs!$C$30*1000*Inputs!$C$16*8760/1000,0)</f>
        <v>112128</v>
      </c>
      <c r="N79" s="28" t="n">
        <f aca="false">IF(N$67&gt;=$C$57,Inputs!$C$30*1000*Inputs!$C$16*8760/1000,0)</f>
        <v>112128</v>
      </c>
      <c r="O79" s="28" t="n">
        <f aca="false">IF(O$67&gt;=$C$57,Inputs!$C$30*1000*Inputs!$C$16*8760/1000,0)</f>
        <v>112128</v>
      </c>
    </row>
    <row r="80" customFormat="false" ht="15" hidden="false" customHeight="false" outlineLevel="0" collapsed="false">
      <c r="B80" s="9" t="s">
        <v>154</v>
      </c>
      <c r="E80" s="24" t="n">
        <f aca="false">E79*Inputs!$C$37*Inputs!$C$27/1000000</f>
        <v>0</v>
      </c>
      <c r="F80" s="24" t="n">
        <f aca="false">F79*Inputs!$C$37*Inputs!$C$27/1000000</f>
        <v>0</v>
      </c>
      <c r="G80" s="24" t="n">
        <f aca="false">G79*Inputs!$C$37*Inputs!$C$27/1000000</f>
        <v>0.4036608</v>
      </c>
      <c r="H80" s="24" t="n">
        <f aca="false">H79*Inputs!$C$37*Inputs!$C$27/1000000</f>
        <v>0.4036608</v>
      </c>
      <c r="I80" s="24" t="n">
        <f aca="false">I79*Inputs!$C$37*Inputs!$C$27/1000000</f>
        <v>0.4036608</v>
      </c>
      <c r="J80" s="24" t="n">
        <f aca="false">J79*Inputs!$C$37*Inputs!$C$27/1000000</f>
        <v>0.4036608</v>
      </c>
      <c r="K80" s="24" t="n">
        <f aca="false">K79*Inputs!$C$37*Inputs!$C$27/1000000</f>
        <v>0.4036608</v>
      </c>
      <c r="L80" s="24" t="n">
        <f aca="false">L79*Inputs!$C$37*Inputs!$C$27/1000000</f>
        <v>0.4036608</v>
      </c>
      <c r="M80" s="24" t="n">
        <f aca="false">M79*Inputs!$C$37*Inputs!$C$27/1000000</f>
        <v>0.4036608</v>
      </c>
      <c r="N80" s="24" t="n">
        <f aca="false">N79*Inputs!$C$37*Inputs!$C$27/1000000</f>
        <v>0.4036608</v>
      </c>
      <c r="O80" s="24" t="n">
        <f aca="false">O79*Inputs!$C$37*Inputs!$C$27/1000000</f>
        <v>0.4036608</v>
      </c>
    </row>
    <row r="81" customFormat="false" ht="15" hidden="false" customHeight="false" outlineLevel="0" collapsed="false">
      <c r="B81" s="9" t="s">
        <v>155</v>
      </c>
      <c r="E81" s="24" t="n">
        <f aca="false">IF(E$67&gt;=$C$57,Inputs!$C$38*E70,0)</f>
        <v>0</v>
      </c>
      <c r="F81" s="24" t="n">
        <f aca="false">IF(F$67&gt;=$C$57,Inputs!$C$38*F70,0)</f>
        <v>0</v>
      </c>
      <c r="G81" s="24" t="n">
        <f aca="false">IF(G$67&gt;=$C$57,Inputs!$C$38*G70,0)</f>
        <v>1.69744</v>
      </c>
      <c r="H81" s="24" t="n">
        <f aca="false">IF(H$67&gt;=$C$57,Inputs!$C$38*H70,0)</f>
        <v>1.7483632</v>
      </c>
      <c r="I81" s="24" t="n">
        <f aca="false">IF(I$67&gt;=$C$57,Inputs!$C$38*I70,0)</f>
        <v>1.800814096</v>
      </c>
      <c r="J81" s="24" t="n">
        <f aca="false">IF(J$67&gt;=$C$57,Inputs!$C$38*J70,0)</f>
        <v>1.85483851888</v>
      </c>
      <c r="K81" s="24" t="n">
        <f aca="false">IF(K$67&gt;=$C$57,Inputs!$C$38*K70,0)</f>
        <v>1.9104836744464</v>
      </c>
      <c r="L81" s="24" t="n">
        <f aca="false">IF(L$67&gt;=$C$57,Inputs!$C$38*L70,0)</f>
        <v>1.96779818467979</v>
      </c>
      <c r="M81" s="24" t="n">
        <f aca="false">IF(M$67&gt;=$C$57,Inputs!$C$38*M70,0)</f>
        <v>2.02683213022019</v>
      </c>
      <c r="N81" s="24" t="n">
        <f aca="false">IF(N$67&gt;=$C$57,Inputs!$C$38*N70,0)</f>
        <v>2.08763709412679</v>
      </c>
      <c r="O81" s="24" t="n">
        <f aca="false">IF(O$67&gt;=$C$57,Inputs!$C$38*O70,0)</f>
        <v>2.1502662069506</v>
      </c>
    </row>
    <row r="82" customFormat="false" ht="15" hidden="false" customHeight="false" outlineLevel="0" collapsed="false">
      <c r="B82" s="9" t="s">
        <v>156</v>
      </c>
      <c r="E82" s="24" t="n">
        <f aca="false">Inputs!$C$12*(E75+E78)</f>
        <v>0.52992</v>
      </c>
      <c r="F82" s="24" t="n">
        <f aca="false">Inputs!$C$12*(F75+F78)</f>
        <v>0.5405184</v>
      </c>
      <c r="G82" s="24" t="n">
        <f aca="false">Inputs!$C$12*(G75+G78)</f>
        <v>0.843168768</v>
      </c>
      <c r="H82" s="24" t="n">
        <f aca="false">Inputs!$C$12*(H75+H78)</f>
        <v>0.86003214336</v>
      </c>
      <c r="I82" s="24" t="n">
        <f aca="false">Inputs!$C$12*(I75+I78)</f>
        <v>0.8772327862272</v>
      </c>
      <c r="J82" s="24" t="n">
        <f aca="false">Inputs!$C$12*(J75+J78)</f>
        <v>0.894777441951744</v>
      </c>
      <c r="K82" s="24" t="n">
        <f aca="false">Inputs!$C$12*(K75+K78)</f>
        <v>0.912672990790779</v>
      </c>
      <c r="L82" s="24" t="n">
        <f aca="false">Inputs!$C$12*(L75+L78)</f>
        <v>0.930926450606595</v>
      </c>
      <c r="M82" s="24" t="n">
        <f aca="false">Inputs!$C$12*(M75+M78)</f>
        <v>0.328659240438006</v>
      </c>
      <c r="N82" s="24" t="n">
        <f aca="false">Inputs!$C$12*(N75+N78)</f>
        <v>0.588672425246766</v>
      </c>
      <c r="O82" s="24" t="n">
        <f aca="false">Inputs!$C$12*(O75+O78)</f>
        <v>0.741450673751701</v>
      </c>
    </row>
    <row r="83" customFormat="false" ht="15" hidden="false" customHeight="false" outlineLevel="0" collapsed="false">
      <c r="B83" s="29" t="s">
        <v>157</v>
      </c>
      <c r="E83" s="30" t="n">
        <f aca="false">E75+E76+E78+E80-E77-E81-E82</f>
        <v>50.7840448</v>
      </c>
      <c r="F83" s="30" t="n">
        <f aca="false">F75+F76+F78+F80-F77-F81-F82</f>
        <v>52.141754944</v>
      </c>
      <c r="G83" s="30" t="n">
        <f aca="false">G75+G76+G78+G80-G77-G81-G82</f>
        <v>81.12377009088</v>
      </c>
      <c r="H83" s="30" t="n">
        <f aca="false">H75+H76+H78+H80-H77-H81-H82</f>
        <v>83.0607302246976</v>
      </c>
      <c r="I83" s="30" t="n">
        <f aca="false">I75+I76+I78+I80-I77-I81-I82</f>
        <v>83.1508650221916</v>
      </c>
      <c r="J83" s="30" t="n">
        <f aca="false">J75+J76+J78+J80-J77-J81-J82</f>
        <v>84.6364790404654</v>
      </c>
      <c r="K83" s="30" t="n">
        <f aca="false">K75+K76+K78+K80-K77-K81-K82</f>
        <v>86.1472513174396</v>
      </c>
      <c r="L83" s="30" t="n">
        <f aca="false">L75+L76+L78+L80-L77-L81-L82</f>
        <v>87.6835615446462</v>
      </c>
      <c r="M83" s="30" t="n">
        <f aca="false">M75+M76+M78+M80-M77-M81-M82</f>
        <v>24.4218968060308</v>
      </c>
      <c r="N83" s="30" t="n">
        <f aca="false">N75+N76+N78+N80-N77-N81-N82</f>
        <v>50.4441637181782</v>
      </c>
      <c r="O83" s="30" t="n">
        <f aca="false">O75+O76+O78+O80-O77-O81-O82</f>
        <v>65.5986264103292</v>
      </c>
    </row>
    <row r="84" customFormat="false" ht="15" hidden="false" customHeight="false" outlineLevel="0" collapsed="false">
      <c r="B84" s="9" t="s">
        <v>158</v>
      </c>
      <c r="E84" s="24" t="n">
        <f aca="false">Inputs!$C$13*E70*IF(AND($C$55="stranded",E$67&gt;Inputs!$C$9),Inputs!$C$56,1)+IF(E$67&gt;=$C$57,Inputs!$C$39*E70,0)</f>
        <v>1.3</v>
      </c>
      <c r="F84" s="24" t="n">
        <f aca="false">Inputs!$C$13*F70*IF(AND($C$55="stranded",F$67&gt;Inputs!$C$9),Inputs!$C$56,1)+IF(F$67&gt;=$C$57,Inputs!$C$39*F70,0)</f>
        <v>1.339</v>
      </c>
      <c r="G84" s="24" t="n">
        <f aca="false">Inputs!$C$13*G70*IF(AND($C$55="stranded",G$67&gt;Inputs!$C$9),Inputs!$C$56,1)+IF(G$67&gt;=$C$57,Inputs!$C$39*G70,0)</f>
        <v>1.90962</v>
      </c>
      <c r="H84" s="24" t="n">
        <f aca="false">Inputs!$C$13*H70*IF(AND($C$55="stranded",H$67&gt;Inputs!$C$9),Inputs!$C$56,1)+IF(H$67&gt;=$C$57,Inputs!$C$39*H70,0)</f>
        <v>1.9669086</v>
      </c>
      <c r="I84" s="24" t="n">
        <f aca="false">Inputs!$C$13*I70*IF(AND($C$55="stranded",I$67&gt;Inputs!$C$9),Inputs!$C$56,1)+IF(I$67&gt;=$C$57,Inputs!$C$39*I70,0)</f>
        <v>2.025915858</v>
      </c>
      <c r="J84" s="24" t="n">
        <f aca="false">Inputs!$C$13*J70*IF(AND($C$55="stranded",J$67&gt;Inputs!$C$9),Inputs!$C$56,1)+IF(J$67&gt;=$C$57,Inputs!$C$39*J70,0)</f>
        <v>2.08669333374</v>
      </c>
      <c r="K84" s="24" t="n">
        <f aca="false">Inputs!$C$13*K70*IF(AND($C$55="stranded",K$67&gt;Inputs!$C$9),Inputs!$C$56,1)+IF(K$67&gt;=$C$57,Inputs!$C$39*K70,0)</f>
        <v>2.1492941337522</v>
      </c>
      <c r="L84" s="24" t="n">
        <f aca="false">Inputs!$C$13*L70*IF(AND($C$55="stranded",L$67&gt;Inputs!$C$9),Inputs!$C$56,1)+IF(L$67&gt;=$C$57,Inputs!$C$39*L70,0)</f>
        <v>2.21377295776477</v>
      </c>
      <c r="M84" s="24" t="n">
        <f aca="false">Inputs!$C$13*M70*IF(AND($C$55="stranded",M$67&gt;Inputs!$C$9),Inputs!$C$56,1)+IF(M$67&gt;=$C$57,Inputs!$C$39*M70,0)</f>
        <v>2.28018614649771</v>
      </c>
      <c r="N84" s="24" t="n">
        <f aca="false">Inputs!$C$13*N70*IF(AND($C$55="stranded",N$67&gt;Inputs!$C$9),Inputs!$C$56,1)+IF(N$67&gt;=$C$57,Inputs!$C$39*N70,0)</f>
        <v>2.34859173089264</v>
      </c>
      <c r="O84" s="24" t="n">
        <f aca="false">Inputs!$C$13*O70*IF(AND($C$55="stranded",O$67&gt;Inputs!$C$9),Inputs!$C$56,1)+IF(O$67&gt;=$C$57,Inputs!$C$39*O70,0)</f>
        <v>2.41904948281942</v>
      </c>
    </row>
    <row r="85" customFormat="false" ht="15" hidden="false" customHeight="false" outlineLevel="0" collapsed="false">
      <c r="B85" s="9" t="s">
        <v>159</v>
      </c>
      <c r="E85" s="24" t="n">
        <f aca="false">IF(OR(E$67=1,E$67=2),Inputs!$C$31*Inputs!$C$30/2,0)+IF(AND(E$67=2,$C$57&gt;Inputs!$C$33),Inputs!$C$31*Inputs!$C$30*Inputs!$C$36*($C$57-Inputs!$C$33),0)</f>
        <v>84</v>
      </c>
      <c r="F85" s="24" t="n">
        <f aca="false">IF(OR(F$67=1,F$67=2),Inputs!$C$31*Inputs!$C$30/2,0)+IF(AND(F$67=2,$C$57&gt;Inputs!$C$33),Inputs!$C$31*Inputs!$C$30*Inputs!$C$36*($C$57-Inputs!$C$33),0)</f>
        <v>84</v>
      </c>
      <c r="G85" s="24" t="n">
        <f aca="false">IF(OR(G$67=1,G$67=2),Inputs!$C$31*Inputs!$C$30/2,0)+IF(AND(G$67=2,$C$57&gt;Inputs!$C$33),Inputs!$C$31*Inputs!$C$30*Inputs!$C$36*($C$57-Inputs!$C$33),0)</f>
        <v>0</v>
      </c>
      <c r="H85" s="24" t="n">
        <f aca="false">IF(OR(H$67=1,H$67=2),Inputs!$C$31*Inputs!$C$30/2,0)+IF(AND(H$67=2,$C$57&gt;Inputs!$C$33),Inputs!$C$31*Inputs!$C$30*Inputs!$C$36*($C$57-Inputs!$C$33),0)</f>
        <v>0</v>
      </c>
      <c r="I85" s="24" t="n">
        <f aca="false">IF(OR(I$67=1,I$67=2),Inputs!$C$31*Inputs!$C$30/2,0)+IF(AND(I$67=2,$C$57&gt;Inputs!$C$33),Inputs!$C$31*Inputs!$C$30*Inputs!$C$36*($C$57-Inputs!$C$33),0)</f>
        <v>0</v>
      </c>
      <c r="J85" s="24" t="n">
        <f aca="false">IF(OR(J$67=1,J$67=2),Inputs!$C$31*Inputs!$C$30/2,0)+IF(AND(J$67=2,$C$57&gt;Inputs!$C$33),Inputs!$C$31*Inputs!$C$30*Inputs!$C$36*($C$57-Inputs!$C$33),0)</f>
        <v>0</v>
      </c>
      <c r="K85" s="24" t="n">
        <f aca="false">IF(OR(K$67=1,K$67=2),Inputs!$C$31*Inputs!$C$30/2,0)+IF(AND(K$67=2,$C$57&gt;Inputs!$C$33),Inputs!$C$31*Inputs!$C$30*Inputs!$C$36*($C$57-Inputs!$C$33),0)</f>
        <v>0</v>
      </c>
      <c r="L85" s="24" t="n">
        <f aca="false">IF(OR(L$67=1,L$67=2),Inputs!$C$31*Inputs!$C$30/2,0)+IF(AND(L$67=2,$C$57&gt;Inputs!$C$33),Inputs!$C$31*Inputs!$C$30*Inputs!$C$36*($C$57-Inputs!$C$33),0)</f>
        <v>0</v>
      </c>
      <c r="M85" s="24" t="n">
        <f aca="false">IF(OR(M$67=1,M$67=2),Inputs!$C$31*Inputs!$C$30/2,0)+IF(AND(M$67=2,$C$57&gt;Inputs!$C$33),Inputs!$C$31*Inputs!$C$30*Inputs!$C$36*($C$57-Inputs!$C$33),0)</f>
        <v>0</v>
      </c>
      <c r="N85" s="24" t="n">
        <f aca="false">IF(OR(N$67=1,N$67=2),Inputs!$C$31*Inputs!$C$30/2,0)+IF(AND(N$67=2,$C$57&gt;Inputs!$C$33),Inputs!$C$31*Inputs!$C$30*Inputs!$C$36*($C$57-Inputs!$C$33),0)</f>
        <v>0</v>
      </c>
      <c r="O85" s="24" t="n">
        <f aca="false">IF(OR(O$67=1,O$67=2),Inputs!$C$31*Inputs!$C$30/2,0)+IF(AND(O$67=2,$C$57&gt;Inputs!$C$33),Inputs!$C$31*Inputs!$C$30*Inputs!$C$36*($C$57-Inputs!$C$33),0)</f>
        <v>0</v>
      </c>
    </row>
    <row r="86" customFormat="false" ht="15" hidden="false" customHeight="false" outlineLevel="0" collapsed="false">
      <c r="B86" s="9" t="s">
        <v>160</v>
      </c>
      <c r="E86" s="24" t="n">
        <f aca="false">IF(E$67=Inputs!$C$9+1,Inputs!$C$6*IF($C$55="renew",Inputs!$C$44,IF($C$55="retrofit",Inputs!$C$45,IF($C$55="relet",Inputs!$C$55,0))),0)</f>
        <v>0</v>
      </c>
      <c r="F86" s="24" t="n">
        <f aca="false">IF(F$67=Inputs!$C$9+1,Inputs!$C$6*IF($C$55="renew",Inputs!$C$44,IF($C$55="retrofit",Inputs!$C$45,IF($C$55="relet",Inputs!$C$55,0))),0)</f>
        <v>0</v>
      </c>
      <c r="G86" s="24" t="n">
        <f aca="false">IF(G$67=Inputs!$C$9+1,Inputs!$C$6*IF($C$55="renew",Inputs!$C$44,IF($C$55="retrofit",Inputs!$C$45,IF($C$55="relet",Inputs!$C$55,0))),0)</f>
        <v>0</v>
      </c>
      <c r="H86" s="24" t="n">
        <f aca="false">IF(H$67=Inputs!$C$9+1,Inputs!$C$6*IF($C$55="renew",Inputs!$C$44,IF($C$55="retrofit",Inputs!$C$45,IF($C$55="relet",Inputs!$C$55,0))),0)</f>
        <v>0</v>
      </c>
      <c r="I86" s="24" t="n">
        <f aca="false">IF(I$67=Inputs!$C$9+1,Inputs!$C$6*IF($C$55="renew",Inputs!$C$44,IF($C$55="retrofit",Inputs!$C$45,IF($C$55="relet",Inputs!$C$55,0))),0)</f>
        <v>0</v>
      </c>
      <c r="J86" s="24" t="n">
        <f aca="false">IF(J$67=Inputs!$C$9+1,Inputs!$C$6*IF($C$55="renew",Inputs!$C$44,IF($C$55="retrofit",Inputs!$C$45,IF($C$55="relet",Inputs!$C$55,0))),0)</f>
        <v>0</v>
      </c>
      <c r="K86" s="24" t="n">
        <f aca="false">IF(K$67=Inputs!$C$9+1,Inputs!$C$6*IF($C$55="renew",Inputs!$C$44,IF($C$55="retrofit",Inputs!$C$45,IF($C$55="relet",Inputs!$C$55,0))),0)</f>
        <v>0</v>
      </c>
      <c r="L86" s="24" t="n">
        <f aca="false">IF(L$67=Inputs!$C$9+1,Inputs!$C$6*IF($C$55="renew",Inputs!$C$44,IF($C$55="retrofit",Inputs!$C$45,IF($C$55="relet",Inputs!$C$55,0))),0)</f>
        <v>0</v>
      </c>
      <c r="M86" s="24" t="n">
        <f aca="false">IF(M$67=Inputs!$C$9+1,Inputs!$C$6*IF($C$55="renew",Inputs!$C$44,IF($C$55="retrofit",Inputs!$C$45,IF($C$55="relet",Inputs!$C$55,0))),0)</f>
        <v>25.6</v>
      </c>
      <c r="N86" s="24" t="n">
        <f aca="false">IF(N$67=Inputs!$C$9+1,Inputs!$C$6*IF($C$55="renew",Inputs!$C$44,IF($C$55="retrofit",Inputs!$C$45,IF($C$55="relet",Inputs!$C$55,0))),0)</f>
        <v>0</v>
      </c>
      <c r="O86" s="24" t="n">
        <f aca="false">IF(O$67=Inputs!$C$9+1,Inputs!$C$6*IF($C$55="renew",Inputs!$C$44,IF($C$55="retrofit",Inputs!$C$45,IF($C$55="relet",Inputs!$C$55,0))),0)</f>
        <v>0</v>
      </c>
    </row>
    <row r="87" customFormat="false" ht="15" hidden="false" customHeight="false" outlineLevel="0" collapsed="false">
      <c r="B87" s="29" t="s">
        <v>161</v>
      </c>
      <c r="E87" s="30" t="n">
        <f aca="false">E83-E84-E85-E86</f>
        <v>-34.5159552</v>
      </c>
      <c r="F87" s="30" t="n">
        <f aca="false">F83-F84-F85-F86</f>
        <v>-33.197245056</v>
      </c>
      <c r="G87" s="30" t="n">
        <f aca="false">G83-G84-G85-G86</f>
        <v>79.21415009088</v>
      </c>
      <c r="H87" s="30" t="n">
        <f aca="false">H83-H84-H85-H86</f>
        <v>81.0938216246976</v>
      </c>
      <c r="I87" s="30" t="n">
        <f aca="false">I83-I84-I85-I86</f>
        <v>81.1249491641916</v>
      </c>
      <c r="J87" s="30" t="n">
        <f aca="false">J83-J84-J85-J86</f>
        <v>82.5497857067254</v>
      </c>
      <c r="K87" s="30" t="n">
        <f aca="false">K83-K84-K85-K86</f>
        <v>83.9979571836874</v>
      </c>
      <c r="L87" s="30" t="n">
        <f aca="false">L83-L84-L85-L86</f>
        <v>85.4697885868815</v>
      </c>
      <c r="M87" s="30" t="n">
        <f aca="false">M83-M84-M85-M86</f>
        <v>-3.45828934046687</v>
      </c>
      <c r="N87" s="30" t="n">
        <f aca="false">N83-N84-N85-N86</f>
        <v>48.0955719872855</v>
      </c>
      <c r="O87" s="30" t="n">
        <f aca="false">O83-O84-O85-O86</f>
        <v>63.1795769275098</v>
      </c>
    </row>
    <row r="88" customFormat="false" ht="15" hidden="false" customHeight="false" outlineLevel="0" collapsed="false">
      <c r="B88" s="6" t="s">
        <v>162</v>
      </c>
    </row>
    <row r="90" customFormat="false" ht="15" hidden="false" customHeight="false" outlineLevel="0" collapsed="false">
      <c r="B90" s="9" t="s">
        <v>163</v>
      </c>
      <c r="C90" s="23" t="n">
        <f aca="false">IF($C$55="renew",Inputs!$C$67,IF($C$55="retrofit",Inputs!$C$68,IF($C$55="relet",Inputs!$C$69,Inputs!$C$70)))+$C$61</f>
        <v>0.0725</v>
      </c>
    </row>
    <row r="91" customFormat="false" ht="15" hidden="false" customHeight="false" outlineLevel="0" collapsed="false">
      <c r="B91" s="9" t="s">
        <v>164</v>
      </c>
      <c r="C91" s="24" t="n">
        <f aca="false">O78+O80-O81-Inputs!$C$12*O78</f>
        <v>32.1051648944678</v>
      </c>
    </row>
    <row r="92" customFormat="false" ht="15" hidden="false" customHeight="false" outlineLevel="0" collapsed="false">
      <c r="B92" s="9" t="s">
        <v>165</v>
      </c>
      <c r="C92" s="24" t="n">
        <f aca="false">O83-$C$91</f>
        <v>33.4934615158614</v>
      </c>
    </row>
    <row r="93" customFormat="false" ht="15" hidden="false" customHeight="false" outlineLevel="0" collapsed="false">
      <c r="B93" s="9" t="s">
        <v>166</v>
      </c>
      <c r="C93" s="24" t="n">
        <f aca="false">IF($C$55="stranded",Inputs!$C$57*Inputs!$C$6-Inputs!$C$58,0)</f>
        <v>0</v>
      </c>
    </row>
    <row r="94" customFormat="false" ht="15" hidden="false" customHeight="false" outlineLevel="0" collapsed="false">
      <c r="B94" s="9" t="s">
        <v>167</v>
      </c>
      <c r="C94" s="24" t="n">
        <f aca="false">($C$91+$C$92)/$C$90+$C$93</f>
        <v>904.808640142472</v>
      </c>
    </row>
    <row r="95" customFormat="false" ht="15" hidden="false" customHeight="false" outlineLevel="0" collapsed="false">
      <c r="B95" s="29" t="s">
        <v>168</v>
      </c>
      <c r="C95" s="30" t="n">
        <f aca="false">$C$94*(1-Inputs!$C$66)</f>
        <v>891.236510540335</v>
      </c>
    </row>
    <row r="96" customFormat="false" ht="15" hidden="false" customHeight="false" outlineLevel="0" collapsed="false">
      <c r="B96" s="9" t="s">
        <v>169</v>
      </c>
      <c r="C96" s="24" t="n">
        <f aca="false">$C$65*(1+Inputs!$C$65)</f>
        <v>918</v>
      </c>
    </row>
    <row r="98" customFormat="false" ht="15" hidden="false" customHeight="false" outlineLevel="0" collapsed="false">
      <c r="B98" s="25" t="s">
        <v>170</v>
      </c>
      <c r="C98" s="26"/>
      <c r="D98" s="26" t="n">
        <v>0</v>
      </c>
      <c r="E98" s="26" t="n">
        <v>1</v>
      </c>
      <c r="F98" s="26" t="n">
        <v>2</v>
      </c>
      <c r="G98" s="26" t="n">
        <v>3</v>
      </c>
      <c r="H98" s="26" t="n">
        <v>4</v>
      </c>
      <c r="I98" s="26" t="n">
        <v>5</v>
      </c>
      <c r="J98" s="26" t="n">
        <v>6</v>
      </c>
      <c r="K98" s="26" t="n">
        <v>7</v>
      </c>
      <c r="L98" s="26" t="n">
        <v>8</v>
      </c>
      <c r="M98" s="26" t="n">
        <v>9</v>
      </c>
      <c r="N98" s="26" t="n">
        <v>10</v>
      </c>
    </row>
    <row r="99" customFormat="false" ht="15" hidden="false" customHeight="false" outlineLevel="0" collapsed="false">
      <c r="B99" s="29" t="s">
        <v>171</v>
      </c>
      <c r="D99" s="30" t="n">
        <f aca="false">-$C$96</f>
        <v>-918</v>
      </c>
      <c r="E99" s="30" t="n">
        <f aca="false">E87</f>
        <v>-34.5159552</v>
      </c>
      <c r="F99" s="30" t="n">
        <f aca="false">F87</f>
        <v>-33.197245056</v>
      </c>
      <c r="G99" s="30" t="n">
        <f aca="false">G87</f>
        <v>79.21415009088</v>
      </c>
      <c r="H99" s="30" t="n">
        <f aca="false">H87</f>
        <v>81.0938216246976</v>
      </c>
      <c r="I99" s="30" t="n">
        <f aca="false">I87</f>
        <v>81.1249491641916</v>
      </c>
      <c r="J99" s="30" t="n">
        <f aca="false">J87</f>
        <v>82.5497857067254</v>
      </c>
      <c r="K99" s="30" t="n">
        <f aca="false">K87</f>
        <v>83.9979571836874</v>
      </c>
      <c r="L99" s="30" t="n">
        <f aca="false">L87</f>
        <v>85.4697885868815</v>
      </c>
      <c r="M99" s="30" t="n">
        <f aca="false">M87</f>
        <v>-3.45828934046687</v>
      </c>
      <c r="N99" s="30" t="n">
        <f aca="false">N87+$C$95</f>
        <v>939.33208252762</v>
      </c>
    </row>
    <row r="100" customFormat="false" ht="15" hidden="false" customHeight="false" outlineLevel="0" collapsed="false">
      <c r="B100" s="29" t="s">
        <v>172</v>
      </c>
      <c r="C100" s="31" t="n">
        <f aca="false">IRR(D99:N99,0.08)</f>
        <v>0.0461559253942883</v>
      </c>
    </row>
    <row r="103" customFormat="false" ht="15" hidden="false" customHeight="false" outlineLevel="0" collapsed="false">
      <c r="B103" s="7" t="s">
        <v>225</v>
      </c>
      <c r="C103" s="8"/>
      <c r="D103" s="8"/>
      <c r="E103" s="8"/>
      <c r="F103" s="8"/>
      <c r="G103" s="8"/>
      <c r="H103" s="8"/>
      <c r="I103" s="8"/>
      <c r="J103" s="8"/>
      <c r="K103" s="8"/>
      <c r="L103" s="8"/>
      <c r="M103" s="8"/>
      <c r="N103" s="8"/>
      <c r="O103" s="8"/>
    </row>
    <row r="104" customFormat="false" ht="15" hidden="false" customHeight="false" outlineLevel="0" collapsed="false">
      <c r="B104" s="9" t="s">
        <v>130</v>
      </c>
      <c r="C104" s="16" t="s">
        <v>226</v>
      </c>
    </row>
    <row r="105" customFormat="false" ht="15" hidden="false" customHeight="false" outlineLevel="0" collapsed="false">
      <c r="B105" s="9" t="s">
        <v>131</v>
      </c>
      <c r="C105" s="19" t="n">
        <f aca="false">Inputs!$C$25</f>
        <v>0</v>
      </c>
    </row>
    <row r="106" customFormat="false" ht="15" hidden="false" customHeight="false" outlineLevel="0" collapsed="false">
      <c r="B106" s="9" t="s">
        <v>132</v>
      </c>
      <c r="C106" s="20" t="n">
        <f aca="false">Inputs!$C$32</f>
        <v>3</v>
      </c>
    </row>
    <row r="107" customFormat="false" ht="15" hidden="false" customHeight="false" outlineLevel="0" collapsed="false">
      <c r="B107" s="9" t="s">
        <v>133</v>
      </c>
      <c r="C107" s="13" t="n">
        <v>0</v>
      </c>
    </row>
    <row r="108" customFormat="false" ht="15" hidden="false" customHeight="false" outlineLevel="0" collapsed="false">
      <c r="B108" s="9" t="s">
        <v>134</v>
      </c>
      <c r="C108" s="21" t="n">
        <f aca="false">Inputs!$C$60</f>
        <v>0.45</v>
      </c>
    </row>
    <row r="109" customFormat="false" ht="15" hidden="false" customHeight="false" outlineLevel="0" collapsed="false">
      <c r="B109" s="9" t="s">
        <v>135</v>
      </c>
      <c r="C109" s="22" t="n">
        <f aca="false">Inputs!$C$61</f>
        <v>1.55</v>
      </c>
    </row>
    <row r="110" customFormat="false" ht="15" hidden="false" customHeight="false" outlineLevel="0" collapsed="false">
      <c r="B110" s="9" t="s">
        <v>136</v>
      </c>
      <c r="C110" s="23" t="n">
        <f aca="false">Inputs!$C$71</f>
        <v>0</v>
      </c>
    </row>
    <row r="111" customFormat="false" ht="15" hidden="false" customHeight="false" outlineLevel="0" collapsed="false">
      <c r="B111" s="9" t="s">
        <v>30</v>
      </c>
      <c r="C111" s="22" t="n">
        <f aca="false">Inputs!$C$18</f>
        <v>1.4</v>
      </c>
    </row>
    <row r="112" customFormat="false" ht="15" hidden="false" customHeight="false" outlineLevel="0" collapsed="false">
      <c r="B112" s="9" t="s">
        <v>137</v>
      </c>
      <c r="C112" s="19" t="n">
        <f aca="false">Inputs!$C$43</f>
        <v>0.9</v>
      </c>
    </row>
    <row r="113" customFormat="false" ht="15" hidden="false" customHeight="false" outlineLevel="0" collapsed="false">
      <c r="B113" s="9" t="s">
        <v>138</v>
      </c>
      <c r="C113" s="24" t="n">
        <f aca="false">Inputs!$C$49</f>
        <v>120</v>
      </c>
    </row>
    <row r="114" customFormat="false" ht="15" hidden="false" customHeight="false" outlineLevel="0" collapsed="false">
      <c r="B114" s="9" t="s">
        <v>139</v>
      </c>
      <c r="C114" s="24" t="n">
        <f aca="false">Inputs!$C$64</f>
        <v>900</v>
      </c>
    </row>
    <row r="115" customFormat="false" ht="15" hidden="false" customHeight="false" outlineLevel="0" collapsed="false">
      <c r="B115" s="9" t="s">
        <v>140</v>
      </c>
      <c r="C115" s="24" t="n">
        <f aca="false">Inputs!$C$6*1000*Inputs!$C$7*12*(1+Inputs!$C$8)^(Inputs!$C$9-1)/1000000</f>
        <v>60.8711509000706</v>
      </c>
    </row>
    <row r="116" customFormat="false" ht="15" hidden="false" customHeight="false" outlineLevel="0" collapsed="false">
      <c r="B116" s="25" t="s">
        <v>141</v>
      </c>
      <c r="C116" s="26"/>
      <c r="E116" s="26" t="n">
        <v>1</v>
      </c>
      <c r="F116" s="26" t="n">
        <v>2</v>
      </c>
      <c r="G116" s="26" t="n">
        <v>3</v>
      </c>
      <c r="H116" s="26" t="n">
        <v>4</v>
      </c>
      <c r="I116" s="26" t="n">
        <v>5</v>
      </c>
      <c r="J116" s="26" t="n">
        <v>6</v>
      </c>
      <c r="K116" s="26" t="n">
        <v>7</v>
      </c>
      <c r="L116" s="26" t="n">
        <v>8</v>
      </c>
      <c r="M116" s="26" t="n">
        <v>9</v>
      </c>
      <c r="N116" s="26" t="n">
        <v>10</v>
      </c>
      <c r="O116" s="26" t="n">
        <v>11</v>
      </c>
    </row>
    <row r="117" customFormat="false" ht="15" hidden="false" customHeight="false" outlineLevel="0" collapsed="false">
      <c r="B117" s="9" t="s">
        <v>142</v>
      </c>
      <c r="E117" s="24" t="n">
        <f aca="false">IF(E$116&lt;=Inputs!$C$22,Inputs!$C$21,Inputs!$C$23*(1+Inputs!$C$24)^(E$116-5)*IF(AND($C$105&lt;&gt;0,E$116&gt;=Inputs!$C$26),1+$C$105,1))</f>
        <v>61</v>
      </c>
      <c r="F117" s="24" t="n">
        <f aca="false">IF(F$116&lt;=Inputs!$C$22,Inputs!$C$21,Inputs!$C$23*(1+Inputs!$C$24)^(F$116-5)*IF(AND($C$105&lt;&gt;0,F$116&gt;=Inputs!$C$26),1+$C$105,1))</f>
        <v>61</v>
      </c>
      <c r="G117" s="24" t="n">
        <f aca="false">IF(G$116&lt;=Inputs!$C$22,Inputs!$C$21,Inputs!$C$23*(1+Inputs!$C$24)^(G$116-5)*IF(AND($C$105&lt;&gt;0,G$116&gt;=Inputs!$C$26),1+$C$105,1))</f>
        <v>61</v>
      </c>
      <c r="H117" s="24" t="n">
        <f aca="false">IF(H$116&lt;=Inputs!$C$22,Inputs!$C$21,Inputs!$C$23*(1+Inputs!$C$24)^(H$116-5)*IF(AND($C$105&lt;&gt;0,H$116&gt;=Inputs!$C$26),1+$C$105,1))</f>
        <v>61</v>
      </c>
      <c r="I117" s="24" t="n">
        <f aca="false">IF(I$116&lt;=Inputs!$C$22,Inputs!$C$21,Inputs!$C$23*(1+Inputs!$C$24)^(I$116-5)*IF(AND($C$105&lt;&gt;0,I$116&gt;=Inputs!$C$26),1+$C$105,1))</f>
        <v>67</v>
      </c>
      <c r="J117" s="24" t="n">
        <f aca="false">IF(J$116&lt;=Inputs!$C$22,Inputs!$C$21,Inputs!$C$23*(1+Inputs!$C$24)^(J$116-5)*IF(AND($C$105&lt;&gt;0,J$116&gt;=Inputs!$C$26),1+$C$105,1))</f>
        <v>68.675</v>
      </c>
      <c r="K117" s="24" t="n">
        <f aca="false">IF(K$116&lt;=Inputs!$C$22,Inputs!$C$21,Inputs!$C$23*(1+Inputs!$C$24)^(K$116-5)*IF(AND($C$105&lt;&gt;0,K$116&gt;=Inputs!$C$26),1+$C$105,1))</f>
        <v>70.391875</v>
      </c>
      <c r="L117" s="24" t="n">
        <f aca="false">IF(L$116&lt;=Inputs!$C$22,Inputs!$C$21,Inputs!$C$23*(1+Inputs!$C$24)^(L$116-5)*IF(AND($C$105&lt;&gt;0,L$116&gt;=Inputs!$C$26),1+$C$105,1))</f>
        <v>72.151671875</v>
      </c>
      <c r="M117" s="24" t="n">
        <f aca="false">IF(M$116&lt;=Inputs!$C$22,Inputs!$C$21,Inputs!$C$23*(1+Inputs!$C$24)^(M$116-5)*IF(AND($C$105&lt;&gt;0,M$116&gt;=Inputs!$C$26),1+$C$105,1))</f>
        <v>73.955463671875</v>
      </c>
      <c r="N117" s="24" t="n">
        <f aca="false">IF(N$116&lt;=Inputs!$C$22,Inputs!$C$21,Inputs!$C$23*(1+Inputs!$C$24)^(N$116-5)*IF(AND($C$105&lt;&gt;0,N$116&gt;=Inputs!$C$26),1+$C$105,1))</f>
        <v>75.8043502636718</v>
      </c>
      <c r="O117" s="24" t="n">
        <f aca="false">IF(O$116&lt;=Inputs!$C$22,Inputs!$C$21,Inputs!$C$23*(1+Inputs!$C$24)^(O$116-5)*IF(AND($C$105&lt;&gt;0,O$116&gt;=Inputs!$C$26),1+$C$105,1))</f>
        <v>77.6994590202636</v>
      </c>
    </row>
    <row r="118" customFormat="false" ht="15" hidden="false" customHeight="false" outlineLevel="0" collapsed="false">
      <c r="B118" s="9" t="s">
        <v>143</v>
      </c>
      <c r="E118" s="24" t="n">
        <f aca="false">Inputs!$C$19*(1+Inputs!$C$20)^(E$116-1)</f>
        <v>74</v>
      </c>
      <c r="F118" s="24" t="n">
        <f aca="false">Inputs!$C$19*(1+Inputs!$C$20)^(F$116-1)</f>
        <v>75.48</v>
      </c>
      <c r="G118" s="24" t="n">
        <f aca="false">Inputs!$C$19*(1+Inputs!$C$20)^(G$116-1)</f>
        <v>76.9896</v>
      </c>
      <c r="H118" s="24" t="n">
        <f aca="false">Inputs!$C$19*(1+Inputs!$C$20)^(H$116-1)</f>
        <v>78.529392</v>
      </c>
      <c r="I118" s="24" t="n">
        <f aca="false">Inputs!$C$19*(1+Inputs!$C$20)^(I$116-1)</f>
        <v>80.09997984</v>
      </c>
      <c r="J118" s="24" t="n">
        <f aca="false">Inputs!$C$19*(1+Inputs!$C$20)^(J$116-1)</f>
        <v>81.7019794368</v>
      </c>
      <c r="K118" s="24" t="n">
        <f aca="false">Inputs!$C$19*(1+Inputs!$C$20)^(K$116-1)</f>
        <v>83.336019025536</v>
      </c>
      <c r="L118" s="24" t="n">
        <f aca="false">Inputs!$C$19*(1+Inputs!$C$20)^(L$116-1)</f>
        <v>85.0027394060467</v>
      </c>
      <c r="M118" s="24" t="n">
        <f aca="false">Inputs!$C$19*(1+Inputs!$C$20)^(M$116-1)</f>
        <v>86.7027941941677</v>
      </c>
      <c r="N118" s="24" t="n">
        <f aca="false">Inputs!$C$19*(1+Inputs!$C$20)^(N$116-1)</f>
        <v>88.436850078051</v>
      </c>
      <c r="O118" s="24" t="n">
        <f aca="false">Inputs!$C$19*(1+Inputs!$C$20)^(O$116-1)</f>
        <v>90.205587079612</v>
      </c>
    </row>
    <row r="119" customFormat="false" ht="15" hidden="false" customHeight="false" outlineLevel="0" collapsed="false">
      <c r="B119" s="9" t="s">
        <v>144</v>
      </c>
      <c r="E119" s="27" t="n">
        <f aca="false">(1+Inputs!$C$11)^(E$116-1)</f>
        <v>1</v>
      </c>
      <c r="F119" s="27" t="n">
        <f aca="false">(1+Inputs!$C$11)^(F$116-1)</f>
        <v>1.03</v>
      </c>
      <c r="G119" s="27" t="n">
        <f aca="false">(1+Inputs!$C$11)^(G$116-1)</f>
        <v>1.0609</v>
      </c>
      <c r="H119" s="27" t="n">
        <f aca="false">(1+Inputs!$C$11)^(H$116-1)</f>
        <v>1.092727</v>
      </c>
      <c r="I119" s="27" t="n">
        <f aca="false">(1+Inputs!$C$11)^(I$116-1)</f>
        <v>1.12550881</v>
      </c>
      <c r="J119" s="27" t="n">
        <f aca="false">(1+Inputs!$C$11)^(J$116-1)</f>
        <v>1.1592740743</v>
      </c>
      <c r="K119" s="27" t="n">
        <f aca="false">(1+Inputs!$C$11)^(K$116-1)</f>
        <v>1.194052296529</v>
      </c>
      <c r="L119" s="27" t="n">
        <f aca="false">(1+Inputs!$C$11)^(L$116-1)</f>
        <v>1.22987386542487</v>
      </c>
      <c r="M119" s="27" t="n">
        <f aca="false">(1+Inputs!$C$11)^(M$116-1)</f>
        <v>1.26677008138762</v>
      </c>
      <c r="N119" s="27" t="n">
        <f aca="false">(1+Inputs!$C$11)^(N$116-1)</f>
        <v>1.30477318382925</v>
      </c>
      <c r="O119" s="27" t="n">
        <f aca="false">(1+Inputs!$C$11)^(O$116-1)</f>
        <v>1.34391637934412</v>
      </c>
    </row>
    <row r="120" customFormat="false" ht="15" hidden="false" customHeight="false" outlineLevel="0" collapsed="false">
      <c r="B120" s="9" t="s">
        <v>145</v>
      </c>
      <c r="E120" s="19" t="n">
        <f aca="false">IF(OR(E$116&lt;=Inputs!$C$9,$C$104="renew"),IF(AND($C$107&gt;0,E$116&gt;=$C$107),$C$108,Inputs!$C$16),IF($C$104="stranded",0,Inputs!$C$16))</f>
        <v>0.8</v>
      </c>
      <c r="F120" s="19" t="n">
        <f aca="false">IF(OR(F$116&lt;=Inputs!$C$9,$C$104="renew"),IF(AND($C$107&gt;0,F$116&gt;=$C$107),$C$108,Inputs!$C$16),IF($C$104="stranded",0,Inputs!$C$16))</f>
        <v>0.8</v>
      </c>
      <c r="G120" s="19" t="n">
        <f aca="false">IF(OR(G$116&lt;=Inputs!$C$9,$C$104="renew"),IF(AND($C$107&gt;0,G$116&gt;=$C$107),$C$108,Inputs!$C$16),IF($C$104="stranded",0,Inputs!$C$16))</f>
        <v>0.8</v>
      </c>
      <c r="H120" s="19" t="n">
        <f aca="false">IF(OR(H$116&lt;=Inputs!$C$9,$C$104="renew"),IF(AND($C$107&gt;0,H$116&gt;=$C$107),$C$108,Inputs!$C$16),IF($C$104="stranded",0,Inputs!$C$16))</f>
        <v>0.8</v>
      </c>
      <c r="I120" s="19" t="n">
        <f aca="false">IF(OR(I$116&lt;=Inputs!$C$9,$C$104="renew"),IF(AND($C$107&gt;0,I$116&gt;=$C$107),$C$108,Inputs!$C$16),IF($C$104="stranded",0,Inputs!$C$16))</f>
        <v>0.8</v>
      </c>
      <c r="J120" s="19" t="n">
        <f aca="false">IF(OR(J$116&lt;=Inputs!$C$9,$C$104="renew"),IF(AND($C$107&gt;0,J$116&gt;=$C$107),$C$108,Inputs!$C$16),IF($C$104="stranded",0,Inputs!$C$16))</f>
        <v>0.8</v>
      </c>
      <c r="K120" s="19" t="n">
        <f aca="false">IF(OR(K$116&lt;=Inputs!$C$9,$C$104="renew"),IF(AND($C$107&gt;0,K$116&gt;=$C$107),$C$108,Inputs!$C$16),IF($C$104="stranded",0,Inputs!$C$16))</f>
        <v>0.8</v>
      </c>
      <c r="L120" s="19" t="n">
        <f aca="false">IF(OR(L$116&lt;=Inputs!$C$9,$C$104="renew"),IF(AND($C$107&gt;0,L$116&gt;=$C$107),$C$108,Inputs!$C$16),IF($C$104="stranded",0,Inputs!$C$16))</f>
        <v>0.8</v>
      </c>
      <c r="M120" s="19" t="n">
        <f aca="false">IF(OR(M$116&lt;=Inputs!$C$9,$C$104="renew"),IF(AND($C$107&gt;0,M$116&gt;=$C$107),$C$108,Inputs!$C$16),IF($C$104="stranded",0,Inputs!$C$16))</f>
        <v>0</v>
      </c>
      <c r="N120" s="19" t="n">
        <f aca="false">IF(OR(N$116&lt;=Inputs!$C$9,$C$104="renew"),IF(AND($C$107&gt;0,N$116&gt;=$C$107),$C$108,Inputs!$C$16),IF($C$104="stranded",0,Inputs!$C$16))</f>
        <v>0</v>
      </c>
      <c r="O120" s="19" t="n">
        <f aca="false">IF(OR(O$116&lt;=Inputs!$C$9,$C$104="renew"),IF(AND($C$107&gt;0,O$116&gt;=$C$107),$C$108,Inputs!$C$16),IF($C$104="stranded",0,Inputs!$C$16))</f>
        <v>0</v>
      </c>
    </row>
    <row r="121" customFormat="false" ht="15" hidden="false" customHeight="false" outlineLevel="0" collapsed="false">
      <c r="B121" s="9" t="s">
        <v>146</v>
      </c>
      <c r="E121" s="22" t="n">
        <f aca="false">IF(OR(E$116&lt;=Inputs!$C$9,$C$104="renew"),IF(AND($C$107&gt;0,E$116&gt;=$C$107),$C$109,$C$111),IF($C$104="retrofit",Inputs!$C$47,IF($C$104="relet",Inputs!$C$53,0)))</f>
        <v>1.4</v>
      </c>
      <c r="F121" s="22" t="n">
        <f aca="false">IF(OR(F$116&lt;=Inputs!$C$9,$C$104="renew"),IF(AND($C$107&gt;0,F$116&gt;=$C$107),$C$109,$C$111),IF($C$104="retrofit",Inputs!$C$47,IF($C$104="relet",Inputs!$C$53,0)))</f>
        <v>1.4</v>
      </c>
      <c r="G121" s="22" t="n">
        <f aca="false">IF(OR(G$116&lt;=Inputs!$C$9,$C$104="renew"),IF(AND($C$107&gt;0,G$116&gt;=$C$107),$C$109,$C$111),IF($C$104="retrofit",Inputs!$C$47,IF($C$104="relet",Inputs!$C$53,0)))</f>
        <v>1.4</v>
      </c>
      <c r="H121" s="22" t="n">
        <f aca="false">IF(OR(H$116&lt;=Inputs!$C$9,$C$104="renew"),IF(AND($C$107&gt;0,H$116&gt;=$C$107),$C$109,$C$111),IF($C$104="retrofit",Inputs!$C$47,IF($C$104="relet",Inputs!$C$53,0)))</f>
        <v>1.4</v>
      </c>
      <c r="I121" s="22" t="n">
        <f aca="false">IF(OR(I$116&lt;=Inputs!$C$9,$C$104="renew"),IF(AND($C$107&gt;0,I$116&gt;=$C$107),$C$109,$C$111),IF($C$104="retrofit",Inputs!$C$47,IF($C$104="relet",Inputs!$C$53,0)))</f>
        <v>1.4</v>
      </c>
      <c r="J121" s="22" t="n">
        <f aca="false">IF(OR(J$116&lt;=Inputs!$C$9,$C$104="renew"),IF(AND($C$107&gt;0,J$116&gt;=$C$107),$C$109,$C$111),IF($C$104="retrofit",Inputs!$C$47,IF($C$104="relet",Inputs!$C$53,0)))</f>
        <v>1.4</v>
      </c>
      <c r="K121" s="22" t="n">
        <f aca="false">IF(OR(K$116&lt;=Inputs!$C$9,$C$104="renew"),IF(AND($C$107&gt;0,K$116&gt;=$C$107),$C$109,$C$111),IF($C$104="retrofit",Inputs!$C$47,IF($C$104="relet",Inputs!$C$53,0)))</f>
        <v>1.4</v>
      </c>
      <c r="L121" s="22" t="n">
        <f aca="false">IF(OR(L$116&lt;=Inputs!$C$9,$C$104="renew"),IF(AND($C$107&gt;0,L$116&gt;=$C$107),$C$109,$C$111),IF($C$104="retrofit",Inputs!$C$47,IF($C$104="relet",Inputs!$C$53,0)))</f>
        <v>1.4</v>
      </c>
      <c r="M121" s="22" t="n">
        <f aca="false">IF(OR(M$116&lt;=Inputs!$C$9,$C$104="renew"),IF(AND($C$107&gt;0,M$116&gt;=$C$107),$C$109,$C$111),IF($C$104="retrofit",Inputs!$C$47,IF($C$104="relet",Inputs!$C$53,0)))</f>
        <v>0</v>
      </c>
      <c r="N121" s="22" t="n">
        <f aca="false">IF(OR(N$116&lt;=Inputs!$C$9,$C$104="renew"),IF(AND($C$107&gt;0,N$116&gt;=$C$107),$C$109,$C$111),IF($C$104="retrofit",Inputs!$C$47,IF($C$104="relet",Inputs!$C$53,0)))</f>
        <v>0</v>
      </c>
      <c r="O121" s="22" t="n">
        <f aca="false">IF(OR(O$116&lt;=Inputs!$C$9,$C$104="renew"),IF(AND($C$107&gt;0,O$116&gt;=$C$107),$C$109,$C$111),IF($C$104="retrofit",Inputs!$C$47,IF($C$104="relet",Inputs!$C$53,0)))</f>
        <v>0</v>
      </c>
    </row>
    <row r="122" customFormat="false" ht="15" hidden="false" customHeight="false" outlineLevel="0" collapsed="false">
      <c r="B122" s="9" t="s">
        <v>147</v>
      </c>
      <c r="E122" s="21" t="n">
        <f aca="false">IF(OR(E$116&lt;=Inputs!$C$9,$C$104="renew"),1,IF($C$104="retrofit",IF(E$116-Inputs!$C$9=1,0,1),IF($C$104="relet",CHOOSE(MIN(E$116-Inputs!$C$9,3),Inputs!$C$50,Inputs!$C$51,Inputs!$C$52),0)))</f>
        <v>1</v>
      </c>
      <c r="F122" s="21" t="n">
        <f aca="false">IF(OR(F$116&lt;=Inputs!$C$9,$C$104="renew"),1,IF($C$104="retrofit",IF(F$116-Inputs!$C$9=1,0,1),IF($C$104="relet",CHOOSE(MIN(F$116-Inputs!$C$9,3),Inputs!$C$50,Inputs!$C$51,Inputs!$C$52),0)))</f>
        <v>1</v>
      </c>
      <c r="G122" s="21" t="n">
        <f aca="false">IF(OR(G$116&lt;=Inputs!$C$9,$C$104="renew"),1,IF($C$104="retrofit",IF(G$116-Inputs!$C$9=1,0,1),IF($C$104="relet",CHOOSE(MIN(G$116-Inputs!$C$9,3),Inputs!$C$50,Inputs!$C$51,Inputs!$C$52),0)))</f>
        <v>1</v>
      </c>
      <c r="H122" s="21" t="n">
        <f aca="false">IF(OR(H$116&lt;=Inputs!$C$9,$C$104="renew"),1,IF($C$104="retrofit",IF(H$116-Inputs!$C$9=1,0,1),IF($C$104="relet",CHOOSE(MIN(H$116-Inputs!$C$9,3),Inputs!$C$50,Inputs!$C$51,Inputs!$C$52),0)))</f>
        <v>1</v>
      </c>
      <c r="I122" s="21" t="n">
        <f aca="false">IF(OR(I$116&lt;=Inputs!$C$9,$C$104="renew"),1,IF($C$104="retrofit",IF(I$116-Inputs!$C$9=1,0,1),IF($C$104="relet",CHOOSE(MIN(I$116-Inputs!$C$9,3),Inputs!$C$50,Inputs!$C$51,Inputs!$C$52),0)))</f>
        <v>1</v>
      </c>
      <c r="J122" s="21" t="n">
        <f aca="false">IF(OR(J$116&lt;=Inputs!$C$9,$C$104="renew"),1,IF($C$104="retrofit",IF(J$116-Inputs!$C$9=1,0,1),IF($C$104="relet",CHOOSE(MIN(J$116-Inputs!$C$9,3),Inputs!$C$50,Inputs!$C$51,Inputs!$C$52),0)))</f>
        <v>1</v>
      </c>
      <c r="K122" s="21" t="n">
        <f aca="false">IF(OR(K$116&lt;=Inputs!$C$9,$C$104="renew"),1,IF($C$104="retrofit",IF(K$116-Inputs!$C$9=1,0,1),IF($C$104="relet",CHOOSE(MIN(K$116-Inputs!$C$9,3),Inputs!$C$50,Inputs!$C$51,Inputs!$C$52),0)))</f>
        <v>1</v>
      </c>
      <c r="L122" s="21" t="n">
        <f aca="false">IF(OR(L$116&lt;=Inputs!$C$9,$C$104="renew"),1,IF($C$104="retrofit",IF(L$116-Inputs!$C$9=1,0,1),IF($C$104="relet",CHOOSE(MIN(L$116-Inputs!$C$9,3),Inputs!$C$50,Inputs!$C$51,Inputs!$C$52),0)))</f>
        <v>1</v>
      </c>
      <c r="M122" s="21" t="n">
        <f aca="false">IF(OR(M$116&lt;=Inputs!$C$9,$C$104="renew"),1,IF($C$104="retrofit",IF(M$116-Inputs!$C$9=1,0,1),IF($C$104="relet",CHOOSE(MIN(M$116-Inputs!$C$9,3),Inputs!$C$50,Inputs!$C$51,Inputs!$C$52),0)))</f>
        <v>0</v>
      </c>
      <c r="N122" s="21" t="n">
        <f aca="false">IF(OR(N$116&lt;=Inputs!$C$9,$C$104="renew"),1,IF($C$104="retrofit",IF(N$116-Inputs!$C$9=1,0,1),IF($C$104="relet",CHOOSE(MIN(N$116-Inputs!$C$9,3),Inputs!$C$50,Inputs!$C$51,Inputs!$C$52),0)))</f>
        <v>0</v>
      </c>
      <c r="O122" s="21" t="n">
        <f aca="false">IF(OR(O$116&lt;=Inputs!$C$9,$C$104="renew"),1,IF($C$104="retrofit",IF(O$116-Inputs!$C$9=1,0,1),IF($C$104="relet",CHOOSE(MIN(O$116-Inputs!$C$9,3),Inputs!$C$50,Inputs!$C$51,Inputs!$C$52),0)))</f>
        <v>0</v>
      </c>
    </row>
    <row r="123" customFormat="false" ht="15" hidden="false" customHeight="false" outlineLevel="0" collapsed="false">
      <c r="B123" s="9" t="s">
        <v>148</v>
      </c>
      <c r="E123" s="28" t="n">
        <f aca="false">Inputs!$C$6*1000*E120*E122*8760/1000</f>
        <v>224256</v>
      </c>
      <c r="F123" s="28" t="n">
        <f aca="false">Inputs!$C$6*1000*F120*F122*8760/1000</f>
        <v>224256</v>
      </c>
      <c r="G123" s="28" t="n">
        <f aca="false">Inputs!$C$6*1000*G120*G122*8760/1000</f>
        <v>224256</v>
      </c>
      <c r="H123" s="28" t="n">
        <f aca="false">Inputs!$C$6*1000*H120*H122*8760/1000</f>
        <v>224256</v>
      </c>
      <c r="I123" s="28" t="n">
        <f aca="false">Inputs!$C$6*1000*I120*I122*8760/1000</f>
        <v>224256</v>
      </c>
      <c r="J123" s="28" t="n">
        <f aca="false">Inputs!$C$6*1000*J120*J122*8760/1000</f>
        <v>224256</v>
      </c>
      <c r="K123" s="28" t="n">
        <f aca="false">Inputs!$C$6*1000*K120*K122*8760/1000</f>
        <v>224256</v>
      </c>
      <c r="L123" s="28" t="n">
        <f aca="false">Inputs!$C$6*1000*L120*L122*8760/1000</f>
        <v>224256</v>
      </c>
      <c r="M123" s="28" t="n">
        <f aca="false">Inputs!$C$6*1000*M120*M122*8760/1000</f>
        <v>0</v>
      </c>
      <c r="N123" s="28" t="n">
        <f aca="false">Inputs!$C$6*1000*N120*N122*8760/1000</f>
        <v>0</v>
      </c>
      <c r="O123" s="28" t="n">
        <f aca="false">Inputs!$C$6*1000*O120*O122*8760/1000</f>
        <v>0</v>
      </c>
    </row>
    <row r="124" customFormat="false" ht="15" hidden="false" customHeight="false" outlineLevel="0" collapsed="false">
      <c r="B124" s="9" t="s">
        <v>149</v>
      </c>
      <c r="E124" s="24" t="n">
        <f aca="false">IF(E$116&lt;=Inputs!$C$9,Inputs!$C$6*1000*Inputs!$C$7*12*(1+Inputs!$C$8)^(E$116-1)/1000000,IF($C$104="renew",$C$115*$C$112*(1+Inputs!$C$8)^(E$116-Inputs!$C$9-1),IF($C$104="retrofit",IF(E$116-Inputs!$C$9=1,0,Inputs!$C$6*1000*Inputs!$C$46*12*(1+Inputs!$C$8)^(E$116-Inputs!$C$9-2)/1000000),IF($C$104="relet",Inputs!$C$6*1000*E122*$C$113*12*(1+Inputs!$C$8)^(E$116-Inputs!$C$9-2)/1000000,0))))</f>
        <v>52.992</v>
      </c>
      <c r="F124" s="24" t="n">
        <f aca="false">IF(F$116&lt;=Inputs!$C$9,Inputs!$C$6*1000*Inputs!$C$7*12*(1+Inputs!$C$8)^(F$116-1)/1000000,IF($C$104="renew",$C$115*$C$112*(1+Inputs!$C$8)^(F$116-Inputs!$C$9-1),IF($C$104="retrofit",IF(F$116-Inputs!$C$9=1,0,Inputs!$C$6*1000*Inputs!$C$46*12*(1+Inputs!$C$8)^(F$116-Inputs!$C$9-2)/1000000),IF($C$104="relet",Inputs!$C$6*1000*F122*$C$113*12*(1+Inputs!$C$8)^(F$116-Inputs!$C$9-2)/1000000,0))))</f>
        <v>54.05184</v>
      </c>
      <c r="G124" s="24" t="n">
        <f aca="false">IF(G$116&lt;=Inputs!$C$9,Inputs!$C$6*1000*Inputs!$C$7*12*(1+Inputs!$C$8)^(G$116-1)/1000000,IF($C$104="renew",$C$115*$C$112*(1+Inputs!$C$8)^(G$116-Inputs!$C$9-1),IF($C$104="retrofit",IF(G$116-Inputs!$C$9=1,0,Inputs!$C$6*1000*Inputs!$C$46*12*(1+Inputs!$C$8)^(G$116-Inputs!$C$9-2)/1000000),IF($C$104="relet",Inputs!$C$6*1000*G122*$C$113*12*(1+Inputs!$C$8)^(G$116-Inputs!$C$9-2)/1000000,0))))</f>
        <v>55.1328768</v>
      </c>
      <c r="H124" s="24" t="n">
        <f aca="false">IF(H$116&lt;=Inputs!$C$9,Inputs!$C$6*1000*Inputs!$C$7*12*(1+Inputs!$C$8)^(H$116-1)/1000000,IF($C$104="renew",$C$115*$C$112*(1+Inputs!$C$8)^(H$116-Inputs!$C$9-1),IF($C$104="retrofit",IF(H$116-Inputs!$C$9=1,0,Inputs!$C$6*1000*Inputs!$C$46*12*(1+Inputs!$C$8)^(H$116-Inputs!$C$9-2)/1000000),IF($C$104="relet",Inputs!$C$6*1000*H122*$C$113*12*(1+Inputs!$C$8)^(H$116-Inputs!$C$9-2)/1000000,0))))</f>
        <v>56.235534336</v>
      </c>
      <c r="I124" s="24" t="n">
        <f aca="false">IF(I$116&lt;=Inputs!$C$9,Inputs!$C$6*1000*Inputs!$C$7*12*(1+Inputs!$C$8)^(I$116-1)/1000000,IF($C$104="renew",$C$115*$C$112*(1+Inputs!$C$8)^(I$116-Inputs!$C$9-1),IF($C$104="retrofit",IF(I$116-Inputs!$C$9=1,0,Inputs!$C$6*1000*Inputs!$C$46*12*(1+Inputs!$C$8)^(I$116-Inputs!$C$9-2)/1000000),IF($C$104="relet",Inputs!$C$6*1000*I122*$C$113*12*(1+Inputs!$C$8)^(I$116-Inputs!$C$9-2)/1000000,0))))</f>
        <v>57.36024502272</v>
      </c>
      <c r="J124" s="24" t="n">
        <f aca="false">IF(J$116&lt;=Inputs!$C$9,Inputs!$C$6*1000*Inputs!$C$7*12*(1+Inputs!$C$8)^(J$116-1)/1000000,IF($C$104="renew",$C$115*$C$112*(1+Inputs!$C$8)^(J$116-Inputs!$C$9-1),IF($C$104="retrofit",IF(J$116-Inputs!$C$9=1,0,Inputs!$C$6*1000*Inputs!$C$46*12*(1+Inputs!$C$8)^(J$116-Inputs!$C$9-2)/1000000),IF($C$104="relet",Inputs!$C$6*1000*J122*$C$113*12*(1+Inputs!$C$8)^(J$116-Inputs!$C$9-2)/1000000,0))))</f>
        <v>58.5074499231744</v>
      </c>
      <c r="K124" s="24" t="n">
        <f aca="false">IF(K$116&lt;=Inputs!$C$9,Inputs!$C$6*1000*Inputs!$C$7*12*(1+Inputs!$C$8)^(K$116-1)/1000000,IF($C$104="renew",$C$115*$C$112*(1+Inputs!$C$8)^(K$116-Inputs!$C$9-1),IF($C$104="retrofit",IF(K$116-Inputs!$C$9=1,0,Inputs!$C$6*1000*Inputs!$C$46*12*(1+Inputs!$C$8)^(K$116-Inputs!$C$9-2)/1000000),IF($C$104="relet",Inputs!$C$6*1000*K122*$C$113*12*(1+Inputs!$C$8)^(K$116-Inputs!$C$9-2)/1000000,0))))</f>
        <v>59.6775989216379</v>
      </c>
      <c r="L124" s="24" t="n">
        <f aca="false">IF(L$116&lt;=Inputs!$C$9,Inputs!$C$6*1000*Inputs!$C$7*12*(1+Inputs!$C$8)^(L$116-1)/1000000,IF($C$104="renew",$C$115*$C$112*(1+Inputs!$C$8)^(L$116-Inputs!$C$9-1),IF($C$104="retrofit",IF(L$116-Inputs!$C$9=1,0,Inputs!$C$6*1000*Inputs!$C$46*12*(1+Inputs!$C$8)^(L$116-Inputs!$C$9-2)/1000000),IF($C$104="relet",Inputs!$C$6*1000*L122*$C$113*12*(1+Inputs!$C$8)^(L$116-Inputs!$C$9-2)/1000000,0))))</f>
        <v>60.8711509000706</v>
      </c>
      <c r="M124" s="24" t="n">
        <f aca="false">IF(M$116&lt;=Inputs!$C$9,Inputs!$C$6*1000*Inputs!$C$7*12*(1+Inputs!$C$8)^(M$116-1)/1000000,IF($C$104="renew",$C$115*$C$112*(1+Inputs!$C$8)^(M$116-Inputs!$C$9-1),IF($C$104="retrofit",IF(M$116-Inputs!$C$9=1,0,Inputs!$C$6*1000*Inputs!$C$46*12*(1+Inputs!$C$8)^(M$116-Inputs!$C$9-2)/1000000),IF($C$104="relet",Inputs!$C$6*1000*M122*$C$113*12*(1+Inputs!$C$8)^(M$116-Inputs!$C$9-2)/1000000,0))))</f>
        <v>0</v>
      </c>
      <c r="N124" s="24" t="n">
        <f aca="false">IF(N$116&lt;=Inputs!$C$9,Inputs!$C$6*1000*Inputs!$C$7*12*(1+Inputs!$C$8)^(N$116-1)/1000000,IF($C$104="renew",$C$115*$C$112*(1+Inputs!$C$8)^(N$116-Inputs!$C$9-1),IF($C$104="retrofit",IF(N$116-Inputs!$C$9=1,0,Inputs!$C$6*1000*Inputs!$C$46*12*(1+Inputs!$C$8)^(N$116-Inputs!$C$9-2)/1000000),IF($C$104="relet",Inputs!$C$6*1000*N122*$C$113*12*(1+Inputs!$C$8)^(N$116-Inputs!$C$9-2)/1000000,0))))</f>
        <v>0</v>
      </c>
      <c r="O124" s="24" t="n">
        <f aca="false">IF(O$116&lt;=Inputs!$C$9,Inputs!$C$6*1000*Inputs!$C$7*12*(1+Inputs!$C$8)^(O$116-1)/1000000,IF($C$104="renew",$C$115*$C$112*(1+Inputs!$C$8)^(O$116-Inputs!$C$9-1),IF($C$104="retrofit",IF(O$116-Inputs!$C$9=1,0,Inputs!$C$6*1000*Inputs!$C$46*12*(1+Inputs!$C$8)^(O$116-Inputs!$C$9-2)/1000000),IF($C$104="relet",Inputs!$C$6*1000*O122*$C$113*12*(1+Inputs!$C$8)^(O$116-Inputs!$C$9-2)/1000000,0))))</f>
        <v>0</v>
      </c>
    </row>
    <row r="125" customFormat="false" ht="15" hidden="false" customHeight="false" outlineLevel="0" collapsed="false">
      <c r="B125" s="9" t="s">
        <v>150</v>
      </c>
      <c r="E125" s="24" t="n">
        <f aca="false">IF(OR(E$116&lt;=Inputs!$C$9,$C$104="renew"),E123*(Inputs!$C$17*E118-E121*E117)/1000000,E123*E121*Inputs!$C$27/1000000)</f>
        <v>2.4219648</v>
      </c>
      <c r="F125" s="24" t="n">
        <f aca="false">IF(OR(F$116&lt;=Inputs!$C$9,$C$104="renew"),F123*(Inputs!$C$17*F118-F121*F117)/1000000,F123*F121*Inputs!$C$27/1000000)</f>
        <v>2.853433344</v>
      </c>
      <c r="G125" s="24" t="n">
        <f aca="false">IF(OR(G$116&lt;=Inputs!$C$9,$C$104="renew"),G123*(Inputs!$C$17*G118-G121*G117)/1000000,G123*G121*Inputs!$C$27/1000000)</f>
        <v>3.29353125888</v>
      </c>
      <c r="H125" s="24" t="n">
        <f aca="false">IF(OR(H$116&lt;=Inputs!$C$9,$C$104="renew"),H123*(Inputs!$C$17*H118-H121*H117)/1000000,H123*H121*Inputs!$C$27/1000000)</f>
        <v>3.74243113205761</v>
      </c>
      <c r="I125" s="24" t="n">
        <f aca="false">IF(OR(I$116&lt;=Inputs!$C$9,$C$104="renew"),I123*(Inputs!$C$17*I118-I121*I117)/1000000,I123*I121*Inputs!$C$27/1000000)</f>
        <v>2.31655860269875</v>
      </c>
      <c r="J125" s="24" t="n">
        <f aca="false">IF(OR(J$116&lt;=Inputs!$C$9,$C$104="renew"),J123*(Inputs!$C$17*J118-J121*J117)/1000000,J123*J121*Inputs!$C$27/1000000)</f>
        <v>2.25771371075273</v>
      </c>
      <c r="K125" s="24" t="n">
        <f aca="false">IF(OR(K$116&lt;=Inputs!$C$9,$C$104="renew"),K123*(Inputs!$C$17*K118-K121*K117)/1000000,K123*K121*Inputs!$C$27/1000000)</f>
        <v>2.19506251936779</v>
      </c>
      <c r="L125" s="24" t="n">
        <f aca="false">IF(OR(L$116&lt;=Inputs!$C$9,$C$104="renew"),L123*(Inputs!$C$17*L118-L121*L117)/1000000,L123*L121*Inputs!$C$27/1000000)</f>
        <v>2.12846316751515</v>
      </c>
      <c r="M125" s="24" t="n">
        <f aca="false">IF(OR(M$116&lt;=Inputs!$C$9,$C$104="renew"),M123*(Inputs!$C$17*M118-M121*M117)/1000000,M123*M121*Inputs!$C$27/1000000)</f>
        <v>0</v>
      </c>
      <c r="N125" s="24" t="n">
        <f aca="false">IF(OR(N$116&lt;=Inputs!$C$9,$C$104="renew"),N123*(Inputs!$C$17*N118-N121*N117)/1000000,N123*N121*Inputs!$C$27/1000000)</f>
        <v>0</v>
      </c>
      <c r="O125" s="24" t="n">
        <f aca="false">IF(OR(O$116&lt;=Inputs!$C$9,$C$104="renew"),O123*(Inputs!$C$17*O118-O121*O117)/1000000,O123*O121*Inputs!$C$27/1000000)</f>
        <v>0</v>
      </c>
    </row>
    <row r="126" customFormat="false" ht="15" hidden="false" customHeight="false" outlineLevel="0" collapsed="false">
      <c r="B126" s="9" t="s">
        <v>151</v>
      </c>
      <c r="E126" s="24" t="n">
        <f aca="false">Inputs!$C$10*E119*IF(OR(E$116&lt;=Inputs!$C$9,$C$104="renew"),1,IF($C$104="retrofit",IF(E$116-Inputs!$C$9=1,Inputs!$C$48,1),IF($C$104="relet",Inputs!$C$54,Inputs!$C$56)))</f>
        <v>4.1</v>
      </c>
      <c r="F126" s="24" t="n">
        <f aca="false">Inputs!$C$10*F119*IF(OR(F$116&lt;=Inputs!$C$9,$C$104="renew"),1,IF($C$104="retrofit",IF(F$116-Inputs!$C$9=1,Inputs!$C$48,1),IF($C$104="relet",Inputs!$C$54,Inputs!$C$56)))</f>
        <v>4.223</v>
      </c>
      <c r="G126" s="24" t="n">
        <f aca="false">Inputs!$C$10*G119*IF(OR(G$116&lt;=Inputs!$C$9,$C$104="renew"),1,IF($C$104="retrofit",IF(G$116-Inputs!$C$9=1,Inputs!$C$48,1),IF($C$104="relet",Inputs!$C$54,Inputs!$C$56)))</f>
        <v>4.34969</v>
      </c>
      <c r="H126" s="24" t="n">
        <f aca="false">Inputs!$C$10*H119*IF(OR(H$116&lt;=Inputs!$C$9,$C$104="renew"),1,IF($C$104="retrofit",IF(H$116-Inputs!$C$9=1,Inputs!$C$48,1),IF($C$104="relet",Inputs!$C$54,Inputs!$C$56)))</f>
        <v>4.4801807</v>
      </c>
      <c r="I126" s="24" t="n">
        <f aca="false">Inputs!$C$10*I119*IF(OR(I$116&lt;=Inputs!$C$9,$C$104="renew"),1,IF($C$104="retrofit",IF(I$116-Inputs!$C$9=1,Inputs!$C$48,1),IF($C$104="relet",Inputs!$C$54,Inputs!$C$56)))</f>
        <v>4.614586121</v>
      </c>
      <c r="J126" s="24" t="n">
        <f aca="false">Inputs!$C$10*J119*IF(OR(J$116&lt;=Inputs!$C$9,$C$104="renew"),1,IF($C$104="retrofit",IF(J$116-Inputs!$C$9=1,Inputs!$C$48,1),IF($C$104="relet",Inputs!$C$54,Inputs!$C$56)))</f>
        <v>4.75302370463</v>
      </c>
      <c r="K126" s="24" t="n">
        <f aca="false">Inputs!$C$10*K119*IF(OR(K$116&lt;=Inputs!$C$9,$C$104="renew"),1,IF($C$104="retrofit",IF(K$116-Inputs!$C$9=1,Inputs!$C$48,1),IF($C$104="relet",Inputs!$C$54,Inputs!$C$56)))</f>
        <v>4.8956144157689</v>
      </c>
      <c r="L126" s="24" t="n">
        <f aca="false">Inputs!$C$10*L119*IF(OR(L$116&lt;=Inputs!$C$9,$C$104="renew"),1,IF($C$104="retrofit",IF(L$116-Inputs!$C$9=1,Inputs!$C$48,1),IF($C$104="relet",Inputs!$C$54,Inputs!$C$56)))</f>
        <v>5.04248284824197</v>
      </c>
      <c r="M126" s="24" t="n">
        <f aca="false">Inputs!$C$10*M119*IF(OR(M$116&lt;=Inputs!$C$9,$C$104="renew"),1,IF($C$104="retrofit",IF(M$116-Inputs!$C$9=1,Inputs!$C$48,1),IF($C$104="relet",Inputs!$C$54,Inputs!$C$56)))</f>
        <v>2.07750293347569</v>
      </c>
      <c r="N126" s="24" t="n">
        <f aca="false">Inputs!$C$10*N119*IF(OR(N$116&lt;=Inputs!$C$9,$C$104="renew"),1,IF($C$104="retrofit",IF(N$116-Inputs!$C$9=1,Inputs!$C$48,1),IF($C$104="relet",Inputs!$C$54,Inputs!$C$56)))</f>
        <v>2.13982802147996</v>
      </c>
      <c r="O126" s="24" t="n">
        <f aca="false">Inputs!$C$10*O119*IF(OR(O$116&lt;=Inputs!$C$9,$C$104="renew"),1,IF($C$104="retrofit",IF(O$116-Inputs!$C$9=1,Inputs!$C$48,1),IF($C$104="relet",Inputs!$C$54,Inputs!$C$56)))</f>
        <v>2.20402286212436</v>
      </c>
    </row>
    <row r="127" customFormat="false" ht="15" hidden="false" customHeight="false" outlineLevel="0" collapsed="false">
      <c r="B127" s="9" t="s">
        <v>152</v>
      </c>
      <c r="E127" s="24" t="n">
        <f aca="false">IF(E$116&gt;=$C$106,Inputs!$C$30*1000*Inputs!$C$34*12*(1+Inputs!$C$8)^(E$116-$C$106)/1000000*IF(AND(E$116=$C$106,$C$106&gt;Inputs!$C$33),1-MIN(12,Inputs!$C$35*($C$106-Inputs!$C$33)*12)/12,1),0)</f>
        <v>0</v>
      </c>
      <c r="F127" s="24" t="n">
        <f aca="false">IF(F$116&gt;=$C$106,Inputs!$C$30*1000*Inputs!$C$34*12*(1+Inputs!$C$8)^(F$116-$C$106)/1000000*IF(AND(F$116=$C$106,$C$106&gt;Inputs!$C$33),1-MIN(12,Inputs!$C$35*($C$106-Inputs!$C$33)*12)/12,1),0)</f>
        <v>0</v>
      </c>
      <c r="G127" s="24" t="n">
        <f aca="false">IF(G$116&gt;=$C$106,Inputs!$C$30*1000*Inputs!$C$34*12*(1+Inputs!$C$8)^(G$116-$C$106)/1000000*IF(AND(G$116=$C$106,$C$106&gt;Inputs!$C$33),1-MIN(12,Inputs!$C$35*($C$106-Inputs!$C$33)*12)/12,1),0)</f>
        <v>29.184</v>
      </c>
      <c r="H127" s="24" t="n">
        <f aca="false">IF(H$116&gt;=$C$106,Inputs!$C$30*1000*Inputs!$C$34*12*(1+Inputs!$C$8)^(H$116-$C$106)/1000000*IF(AND(H$116=$C$106,$C$106&gt;Inputs!$C$33),1-MIN(12,Inputs!$C$35*($C$106-Inputs!$C$33)*12)/12,1),0)</f>
        <v>29.76768</v>
      </c>
      <c r="I127" s="24" t="n">
        <f aca="false">IF(I$116&gt;=$C$106,Inputs!$C$30*1000*Inputs!$C$34*12*(1+Inputs!$C$8)^(I$116-$C$106)/1000000*IF(AND(I$116=$C$106,$C$106&gt;Inputs!$C$33),1-MIN(12,Inputs!$C$35*($C$106-Inputs!$C$33)*12)/12,1),0)</f>
        <v>30.3630336</v>
      </c>
      <c r="J127" s="24" t="n">
        <f aca="false">IF(J$116&gt;=$C$106,Inputs!$C$30*1000*Inputs!$C$34*12*(1+Inputs!$C$8)^(J$116-$C$106)/1000000*IF(AND(J$116=$C$106,$C$106&gt;Inputs!$C$33),1-MIN(12,Inputs!$C$35*($C$106-Inputs!$C$33)*12)/12,1),0)</f>
        <v>30.970294272</v>
      </c>
      <c r="K127" s="24" t="n">
        <f aca="false">IF(K$116&gt;=$C$106,Inputs!$C$30*1000*Inputs!$C$34*12*(1+Inputs!$C$8)^(K$116-$C$106)/1000000*IF(AND(K$116=$C$106,$C$106&gt;Inputs!$C$33),1-MIN(12,Inputs!$C$35*($C$106-Inputs!$C$33)*12)/12,1),0)</f>
        <v>31.58970015744</v>
      </c>
      <c r="L127" s="24" t="n">
        <f aca="false">IF(L$116&gt;=$C$106,Inputs!$C$30*1000*Inputs!$C$34*12*(1+Inputs!$C$8)^(L$116-$C$106)/1000000*IF(AND(L$116=$C$106,$C$106&gt;Inputs!$C$33),1-MIN(12,Inputs!$C$35*($C$106-Inputs!$C$33)*12)/12,1),0)</f>
        <v>32.2214941605888</v>
      </c>
      <c r="M127" s="24" t="n">
        <f aca="false">IF(M$116&gt;=$C$106,Inputs!$C$30*1000*Inputs!$C$34*12*(1+Inputs!$C$8)^(M$116-$C$106)/1000000*IF(AND(M$116=$C$106,$C$106&gt;Inputs!$C$33),1-MIN(12,Inputs!$C$35*($C$106-Inputs!$C$33)*12)/12,1),0)</f>
        <v>32.8659240438006</v>
      </c>
      <c r="N127" s="24" t="n">
        <f aca="false">IF(N$116&gt;=$C$106,Inputs!$C$30*1000*Inputs!$C$34*12*(1+Inputs!$C$8)^(N$116-$C$106)/1000000*IF(AND(N$116=$C$106,$C$106&gt;Inputs!$C$33),1-MIN(12,Inputs!$C$35*($C$106-Inputs!$C$33)*12)/12,1),0)</f>
        <v>33.5232425246766</v>
      </c>
      <c r="O127" s="24" t="n">
        <f aca="false">IF(O$116&gt;=$C$106,Inputs!$C$30*1000*Inputs!$C$34*12*(1+Inputs!$C$8)^(O$116-$C$106)/1000000*IF(AND(O$116=$C$106,$C$106&gt;Inputs!$C$33),1-MIN(12,Inputs!$C$35*($C$106-Inputs!$C$33)*12)/12,1),0)</f>
        <v>34.1937073751701</v>
      </c>
    </row>
    <row r="128" customFormat="false" ht="15" hidden="false" customHeight="false" outlineLevel="0" collapsed="false">
      <c r="B128" s="9" t="s">
        <v>153</v>
      </c>
      <c r="E128" s="28" t="n">
        <f aca="false">IF(E$116&gt;=$C$106,Inputs!$C$30*1000*Inputs!$C$16*8760/1000,0)</f>
        <v>0</v>
      </c>
      <c r="F128" s="28" t="n">
        <f aca="false">IF(F$116&gt;=$C$106,Inputs!$C$30*1000*Inputs!$C$16*8760/1000,0)</f>
        <v>0</v>
      </c>
      <c r="G128" s="28" t="n">
        <f aca="false">IF(G$116&gt;=$C$106,Inputs!$C$30*1000*Inputs!$C$16*8760/1000,0)</f>
        <v>112128</v>
      </c>
      <c r="H128" s="28" t="n">
        <f aca="false">IF(H$116&gt;=$C$106,Inputs!$C$30*1000*Inputs!$C$16*8760/1000,0)</f>
        <v>112128</v>
      </c>
      <c r="I128" s="28" t="n">
        <f aca="false">IF(I$116&gt;=$C$106,Inputs!$C$30*1000*Inputs!$C$16*8760/1000,0)</f>
        <v>112128</v>
      </c>
      <c r="J128" s="28" t="n">
        <f aca="false">IF(J$116&gt;=$C$106,Inputs!$C$30*1000*Inputs!$C$16*8760/1000,0)</f>
        <v>112128</v>
      </c>
      <c r="K128" s="28" t="n">
        <f aca="false">IF(K$116&gt;=$C$106,Inputs!$C$30*1000*Inputs!$C$16*8760/1000,0)</f>
        <v>112128</v>
      </c>
      <c r="L128" s="28" t="n">
        <f aca="false">IF(L$116&gt;=$C$106,Inputs!$C$30*1000*Inputs!$C$16*8760/1000,0)</f>
        <v>112128</v>
      </c>
      <c r="M128" s="28" t="n">
        <f aca="false">IF(M$116&gt;=$C$106,Inputs!$C$30*1000*Inputs!$C$16*8760/1000,0)</f>
        <v>112128</v>
      </c>
      <c r="N128" s="28" t="n">
        <f aca="false">IF(N$116&gt;=$C$106,Inputs!$C$30*1000*Inputs!$C$16*8760/1000,0)</f>
        <v>112128</v>
      </c>
      <c r="O128" s="28" t="n">
        <f aca="false">IF(O$116&gt;=$C$106,Inputs!$C$30*1000*Inputs!$C$16*8760/1000,0)</f>
        <v>112128</v>
      </c>
    </row>
    <row r="129" customFormat="false" ht="15" hidden="false" customHeight="false" outlineLevel="0" collapsed="false">
      <c r="B129" s="9" t="s">
        <v>154</v>
      </c>
      <c r="E129" s="24" t="n">
        <f aca="false">E128*Inputs!$C$37*Inputs!$C$27/1000000</f>
        <v>0</v>
      </c>
      <c r="F129" s="24" t="n">
        <f aca="false">F128*Inputs!$C$37*Inputs!$C$27/1000000</f>
        <v>0</v>
      </c>
      <c r="G129" s="24" t="n">
        <f aca="false">G128*Inputs!$C$37*Inputs!$C$27/1000000</f>
        <v>0.4036608</v>
      </c>
      <c r="H129" s="24" t="n">
        <f aca="false">H128*Inputs!$C$37*Inputs!$C$27/1000000</f>
        <v>0.4036608</v>
      </c>
      <c r="I129" s="24" t="n">
        <f aca="false">I128*Inputs!$C$37*Inputs!$C$27/1000000</f>
        <v>0.4036608</v>
      </c>
      <c r="J129" s="24" t="n">
        <f aca="false">J128*Inputs!$C$37*Inputs!$C$27/1000000</f>
        <v>0.4036608</v>
      </c>
      <c r="K129" s="24" t="n">
        <f aca="false">K128*Inputs!$C$37*Inputs!$C$27/1000000</f>
        <v>0.4036608</v>
      </c>
      <c r="L129" s="24" t="n">
        <f aca="false">L128*Inputs!$C$37*Inputs!$C$27/1000000</f>
        <v>0.4036608</v>
      </c>
      <c r="M129" s="24" t="n">
        <f aca="false">M128*Inputs!$C$37*Inputs!$C$27/1000000</f>
        <v>0.4036608</v>
      </c>
      <c r="N129" s="24" t="n">
        <f aca="false">N128*Inputs!$C$37*Inputs!$C$27/1000000</f>
        <v>0.4036608</v>
      </c>
      <c r="O129" s="24" t="n">
        <f aca="false">O128*Inputs!$C$37*Inputs!$C$27/1000000</f>
        <v>0.4036608</v>
      </c>
    </row>
    <row r="130" customFormat="false" ht="15" hidden="false" customHeight="false" outlineLevel="0" collapsed="false">
      <c r="B130" s="9" t="s">
        <v>155</v>
      </c>
      <c r="E130" s="24" t="n">
        <f aca="false">IF(E$116&gt;=$C$106,Inputs!$C$38*E119,0)</f>
        <v>0</v>
      </c>
      <c r="F130" s="24" t="n">
        <f aca="false">IF(F$116&gt;=$C$106,Inputs!$C$38*F119,0)</f>
        <v>0</v>
      </c>
      <c r="G130" s="24" t="n">
        <f aca="false">IF(G$116&gt;=$C$106,Inputs!$C$38*G119,0)</f>
        <v>1.69744</v>
      </c>
      <c r="H130" s="24" t="n">
        <f aca="false">IF(H$116&gt;=$C$106,Inputs!$C$38*H119,0)</f>
        <v>1.7483632</v>
      </c>
      <c r="I130" s="24" t="n">
        <f aca="false">IF(I$116&gt;=$C$106,Inputs!$C$38*I119,0)</f>
        <v>1.800814096</v>
      </c>
      <c r="J130" s="24" t="n">
        <f aca="false">IF(J$116&gt;=$C$106,Inputs!$C$38*J119,0)</f>
        <v>1.85483851888</v>
      </c>
      <c r="K130" s="24" t="n">
        <f aca="false">IF(K$116&gt;=$C$106,Inputs!$C$38*K119,0)</f>
        <v>1.9104836744464</v>
      </c>
      <c r="L130" s="24" t="n">
        <f aca="false">IF(L$116&gt;=$C$106,Inputs!$C$38*L119,0)</f>
        <v>1.96779818467979</v>
      </c>
      <c r="M130" s="24" t="n">
        <f aca="false">IF(M$116&gt;=$C$106,Inputs!$C$38*M119,0)</f>
        <v>2.02683213022019</v>
      </c>
      <c r="N130" s="24" t="n">
        <f aca="false">IF(N$116&gt;=$C$106,Inputs!$C$38*N119,0)</f>
        <v>2.08763709412679</v>
      </c>
      <c r="O130" s="24" t="n">
        <f aca="false">IF(O$116&gt;=$C$106,Inputs!$C$38*O119,0)</f>
        <v>2.1502662069506</v>
      </c>
    </row>
    <row r="131" customFormat="false" ht="15" hidden="false" customHeight="false" outlineLevel="0" collapsed="false">
      <c r="B131" s="9" t="s">
        <v>156</v>
      </c>
      <c r="E131" s="24" t="n">
        <f aca="false">Inputs!$C$12*(E124+E127)</f>
        <v>0.52992</v>
      </c>
      <c r="F131" s="24" t="n">
        <f aca="false">Inputs!$C$12*(F124+F127)</f>
        <v>0.5405184</v>
      </c>
      <c r="G131" s="24" t="n">
        <f aca="false">Inputs!$C$12*(G124+G127)</f>
        <v>0.843168768</v>
      </c>
      <c r="H131" s="24" t="n">
        <f aca="false">Inputs!$C$12*(H124+H127)</f>
        <v>0.86003214336</v>
      </c>
      <c r="I131" s="24" t="n">
        <f aca="false">Inputs!$C$12*(I124+I127)</f>
        <v>0.8772327862272</v>
      </c>
      <c r="J131" s="24" t="n">
        <f aca="false">Inputs!$C$12*(J124+J127)</f>
        <v>0.894777441951744</v>
      </c>
      <c r="K131" s="24" t="n">
        <f aca="false">Inputs!$C$12*(K124+K127)</f>
        <v>0.912672990790779</v>
      </c>
      <c r="L131" s="24" t="n">
        <f aca="false">Inputs!$C$12*(L124+L127)</f>
        <v>0.930926450606595</v>
      </c>
      <c r="M131" s="24" t="n">
        <f aca="false">Inputs!$C$12*(M124+M127)</f>
        <v>0.328659240438006</v>
      </c>
      <c r="N131" s="24" t="n">
        <f aca="false">Inputs!$C$12*(N124+N127)</f>
        <v>0.335232425246766</v>
      </c>
      <c r="O131" s="24" t="n">
        <f aca="false">Inputs!$C$12*(O124+O127)</f>
        <v>0.341937073751701</v>
      </c>
    </row>
    <row r="132" customFormat="false" ht="15" hidden="false" customHeight="false" outlineLevel="0" collapsed="false">
      <c r="B132" s="29" t="s">
        <v>157</v>
      </c>
      <c r="E132" s="30" t="n">
        <f aca="false">E124+E125+E127+E129-E126-E130-E131</f>
        <v>50.7840448</v>
      </c>
      <c r="F132" s="30" t="n">
        <f aca="false">F124+F125+F127+F129-F126-F130-F131</f>
        <v>52.141754944</v>
      </c>
      <c r="G132" s="30" t="n">
        <f aca="false">G124+G125+G127+G129-G126-G130-G131</f>
        <v>81.12377009088</v>
      </c>
      <c r="H132" s="30" t="n">
        <f aca="false">H124+H125+H127+H129-H126-H130-H131</f>
        <v>83.0607302246976</v>
      </c>
      <c r="I132" s="30" t="n">
        <f aca="false">I124+I125+I127+I129-I126-I130-I131</f>
        <v>83.1508650221916</v>
      </c>
      <c r="J132" s="30" t="n">
        <f aca="false">J124+J125+J127+J129-J126-J130-J131</f>
        <v>84.6364790404654</v>
      </c>
      <c r="K132" s="30" t="n">
        <f aca="false">K124+K125+K127+K129-K126-K130-K131</f>
        <v>86.1472513174396</v>
      </c>
      <c r="L132" s="30" t="n">
        <f aca="false">L124+L125+L127+L129-L126-L130-L131</f>
        <v>87.6835615446462</v>
      </c>
      <c r="M132" s="30" t="n">
        <f aca="false">M124+M125+M127+M129-M126-M130-M131</f>
        <v>28.8365905396667</v>
      </c>
      <c r="N132" s="30" t="n">
        <f aca="false">N124+N125+N127+N129-N126-N130-N131</f>
        <v>29.3642057838231</v>
      </c>
      <c r="O132" s="30" t="n">
        <f aca="false">O124+O125+O127+O129-O126-O130-O131</f>
        <v>29.9011420323435</v>
      </c>
    </row>
    <row r="133" customFormat="false" ht="15" hidden="false" customHeight="false" outlineLevel="0" collapsed="false">
      <c r="B133" s="9" t="s">
        <v>158</v>
      </c>
      <c r="E133" s="24" t="n">
        <f aca="false">Inputs!$C$13*E119*IF(AND($C$104="stranded",E$116&gt;Inputs!$C$9),Inputs!$C$56,1)+IF(E$116&gt;=$C$106,Inputs!$C$39*E119,0)</f>
        <v>1.3</v>
      </c>
      <c r="F133" s="24" t="n">
        <f aca="false">Inputs!$C$13*F119*IF(AND($C$104="stranded",F$116&gt;Inputs!$C$9),Inputs!$C$56,1)+IF(F$116&gt;=$C$106,Inputs!$C$39*F119,0)</f>
        <v>1.339</v>
      </c>
      <c r="G133" s="24" t="n">
        <f aca="false">Inputs!$C$13*G119*IF(AND($C$104="stranded",G$116&gt;Inputs!$C$9),Inputs!$C$56,1)+IF(G$116&gt;=$C$106,Inputs!$C$39*G119,0)</f>
        <v>1.90962</v>
      </c>
      <c r="H133" s="24" t="n">
        <f aca="false">Inputs!$C$13*H119*IF(AND($C$104="stranded",H$116&gt;Inputs!$C$9),Inputs!$C$56,1)+IF(H$116&gt;=$C$106,Inputs!$C$39*H119,0)</f>
        <v>1.9669086</v>
      </c>
      <c r="I133" s="24" t="n">
        <f aca="false">Inputs!$C$13*I119*IF(AND($C$104="stranded",I$116&gt;Inputs!$C$9),Inputs!$C$56,1)+IF(I$116&gt;=$C$106,Inputs!$C$39*I119,0)</f>
        <v>2.025915858</v>
      </c>
      <c r="J133" s="24" t="n">
        <f aca="false">Inputs!$C$13*J119*IF(AND($C$104="stranded",J$116&gt;Inputs!$C$9),Inputs!$C$56,1)+IF(J$116&gt;=$C$106,Inputs!$C$39*J119,0)</f>
        <v>2.08669333374</v>
      </c>
      <c r="K133" s="24" t="n">
        <f aca="false">Inputs!$C$13*K119*IF(AND($C$104="stranded",K$116&gt;Inputs!$C$9),Inputs!$C$56,1)+IF(K$116&gt;=$C$106,Inputs!$C$39*K119,0)</f>
        <v>2.1492941337522</v>
      </c>
      <c r="L133" s="24" t="n">
        <f aca="false">Inputs!$C$13*L119*IF(AND($C$104="stranded",L$116&gt;Inputs!$C$9),Inputs!$C$56,1)+IF(L$116&gt;=$C$106,Inputs!$C$39*L119,0)</f>
        <v>2.21377295776477</v>
      </c>
      <c r="M133" s="24" t="n">
        <f aca="false">Inputs!$C$13*M119*IF(AND($C$104="stranded",M$116&gt;Inputs!$C$9),Inputs!$C$56,1)+IF(M$116&gt;=$C$106,Inputs!$C$39*M119,0)</f>
        <v>1.29210548301537</v>
      </c>
      <c r="N133" s="24" t="n">
        <f aca="false">Inputs!$C$13*N119*IF(AND($C$104="stranded",N$116&gt;Inputs!$C$9),Inputs!$C$56,1)+IF(N$116&gt;=$C$106,Inputs!$C$39*N119,0)</f>
        <v>1.33086864750583</v>
      </c>
      <c r="O133" s="24" t="n">
        <f aca="false">Inputs!$C$13*O119*IF(AND($C$104="stranded",O$116&gt;Inputs!$C$9),Inputs!$C$56,1)+IF(O$116&gt;=$C$106,Inputs!$C$39*O119,0)</f>
        <v>1.37079470693101</v>
      </c>
    </row>
    <row r="134" customFormat="false" ht="15" hidden="false" customHeight="false" outlineLevel="0" collapsed="false">
      <c r="B134" s="9" t="s">
        <v>159</v>
      </c>
      <c r="E134" s="24" t="n">
        <f aca="false">IF(OR(E$116=1,E$116=2),Inputs!$C$31*Inputs!$C$30/2,0)+IF(AND(E$116=2,$C$106&gt;Inputs!$C$33),Inputs!$C$31*Inputs!$C$30*Inputs!$C$36*($C$106-Inputs!$C$33),0)</f>
        <v>84</v>
      </c>
      <c r="F134" s="24" t="n">
        <f aca="false">IF(OR(F$116=1,F$116=2),Inputs!$C$31*Inputs!$C$30/2,0)+IF(AND(F$116=2,$C$106&gt;Inputs!$C$33),Inputs!$C$31*Inputs!$C$30*Inputs!$C$36*($C$106-Inputs!$C$33),0)</f>
        <v>84</v>
      </c>
      <c r="G134" s="24" t="n">
        <f aca="false">IF(OR(G$116=1,G$116=2),Inputs!$C$31*Inputs!$C$30/2,0)+IF(AND(G$116=2,$C$106&gt;Inputs!$C$33),Inputs!$C$31*Inputs!$C$30*Inputs!$C$36*($C$106-Inputs!$C$33),0)</f>
        <v>0</v>
      </c>
      <c r="H134" s="24" t="n">
        <f aca="false">IF(OR(H$116=1,H$116=2),Inputs!$C$31*Inputs!$C$30/2,0)+IF(AND(H$116=2,$C$106&gt;Inputs!$C$33),Inputs!$C$31*Inputs!$C$30*Inputs!$C$36*($C$106-Inputs!$C$33),0)</f>
        <v>0</v>
      </c>
      <c r="I134" s="24" t="n">
        <f aca="false">IF(OR(I$116=1,I$116=2),Inputs!$C$31*Inputs!$C$30/2,0)+IF(AND(I$116=2,$C$106&gt;Inputs!$C$33),Inputs!$C$31*Inputs!$C$30*Inputs!$C$36*($C$106-Inputs!$C$33),0)</f>
        <v>0</v>
      </c>
      <c r="J134" s="24" t="n">
        <f aca="false">IF(OR(J$116=1,J$116=2),Inputs!$C$31*Inputs!$C$30/2,0)+IF(AND(J$116=2,$C$106&gt;Inputs!$C$33),Inputs!$C$31*Inputs!$C$30*Inputs!$C$36*($C$106-Inputs!$C$33),0)</f>
        <v>0</v>
      </c>
      <c r="K134" s="24" t="n">
        <f aca="false">IF(OR(K$116=1,K$116=2),Inputs!$C$31*Inputs!$C$30/2,0)+IF(AND(K$116=2,$C$106&gt;Inputs!$C$33),Inputs!$C$31*Inputs!$C$30*Inputs!$C$36*($C$106-Inputs!$C$33),0)</f>
        <v>0</v>
      </c>
      <c r="L134" s="24" t="n">
        <f aca="false">IF(OR(L$116=1,L$116=2),Inputs!$C$31*Inputs!$C$30/2,0)+IF(AND(L$116=2,$C$106&gt;Inputs!$C$33),Inputs!$C$31*Inputs!$C$30*Inputs!$C$36*($C$106-Inputs!$C$33),0)</f>
        <v>0</v>
      </c>
      <c r="M134" s="24" t="n">
        <f aca="false">IF(OR(M$116=1,M$116=2),Inputs!$C$31*Inputs!$C$30/2,0)+IF(AND(M$116=2,$C$106&gt;Inputs!$C$33),Inputs!$C$31*Inputs!$C$30*Inputs!$C$36*($C$106-Inputs!$C$33),0)</f>
        <v>0</v>
      </c>
      <c r="N134" s="24" t="n">
        <f aca="false">IF(OR(N$116=1,N$116=2),Inputs!$C$31*Inputs!$C$30/2,0)+IF(AND(N$116=2,$C$106&gt;Inputs!$C$33),Inputs!$C$31*Inputs!$C$30*Inputs!$C$36*($C$106-Inputs!$C$33),0)</f>
        <v>0</v>
      </c>
      <c r="O134" s="24" t="n">
        <f aca="false">IF(OR(O$116=1,O$116=2),Inputs!$C$31*Inputs!$C$30/2,0)+IF(AND(O$116=2,$C$106&gt;Inputs!$C$33),Inputs!$C$31*Inputs!$C$30*Inputs!$C$36*($C$106-Inputs!$C$33),0)</f>
        <v>0</v>
      </c>
    </row>
    <row r="135" customFormat="false" ht="15" hidden="false" customHeight="false" outlineLevel="0" collapsed="false">
      <c r="B135" s="9" t="s">
        <v>160</v>
      </c>
      <c r="E135" s="24" t="n">
        <f aca="false">IF(E$116=Inputs!$C$9+1,Inputs!$C$6*IF($C$104="renew",Inputs!$C$44,IF($C$104="retrofit",Inputs!$C$45,IF($C$104="relet",Inputs!$C$55,0))),0)</f>
        <v>0</v>
      </c>
      <c r="F135" s="24" t="n">
        <f aca="false">IF(F$116=Inputs!$C$9+1,Inputs!$C$6*IF($C$104="renew",Inputs!$C$44,IF($C$104="retrofit",Inputs!$C$45,IF($C$104="relet",Inputs!$C$55,0))),0)</f>
        <v>0</v>
      </c>
      <c r="G135" s="24" t="n">
        <f aca="false">IF(G$116=Inputs!$C$9+1,Inputs!$C$6*IF($C$104="renew",Inputs!$C$44,IF($C$104="retrofit",Inputs!$C$45,IF($C$104="relet",Inputs!$C$55,0))),0)</f>
        <v>0</v>
      </c>
      <c r="H135" s="24" t="n">
        <f aca="false">IF(H$116=Inputs!$C$9+1,Inputs!$C$6*IF($C$104="renew",Inputs!$C$44,IF($C$104="retrofit",Inputs!$C$45,IF($C$104="relet",Inputs!$C$55,0))),0)</f>
        <v>0</v>
      </c>
      <c r="I135" s="24" t="n">
        <f aca="false">IF(I$116=Inputs!$C$9+1,Inputs!$C$6*IF($C$104="renew",Inputs!$C$44,IF($C$104="retrofit",Inputs!$C$45,IF($C$104="relet",Inputs!$C$55,0))),0)</f>
        <v>0</v>
      </c>
      <c r="J135" s="24" t="n">
        <f aca="false">IF(J$116=Inputs!$C$9+1,Inputs!$C$6*IF($C$104="renew",Inputs!$C$44,IF($C$104="retrofit",Inputs!$C$45,IF($C$104="relet",Inputs!$C$55,0))),0)</f>
        <v>0</v>
      </c>
      <c r="K135" s="24" t="n">
        <f aca="false">IF(K$116=Inputs!$C$9+1,Inputs!$C$6*IF($C$104="renew",Inputs!$C$44,IF($C$104="retrofit",Inputs!$C$45,IF($C$104="relet",Inputs!$C$55,0))),0)</f>
        <v>0</v>
      </c>
      <c r="L135" s="24" t="n">
        <f aca="false">IF(L$116=Inputs!$C$9+1,Inputs!$C$6*IF($C$104="renew",Inputs!$C$44,IF($C$104="retrofit",Inputs!$C$45,IF($C$104="relet",Inputs!$C$55,0))),0)</f>
        <v>0</v>
      </c>
      <c r="M135" s="24" t="n">
        <f aca="false">IF(M$116=Inputs!$C$9+1,Inputs!$C$6*IF($C$104="renew",Inputs!$C$44,IF($C$104="retrofit",Inputs!$C$45,IF($C$104="relet",Inputs!$C$55,0))),0)</f>
        <v>0</v>
      </c>
      <c r="N135" s="24" t="n">
        <f aca="false">IF(N$116=Inputs!$C$9+1,Inputs!$C$6*IF($C$104="renew",Inputs!$C$44,IF($C$104="retrofit",Inputs!$C$45,IF($C$104="relet",Inputs!$C$55,0))),0)</f>
        <v>0</v>
      </c>
      <c r="O135" s="24" t="n">
        <f aca="false">IF(O$116=Inputs!$C$9+1,Inputs!$C$6*IF($C$104="renew",Inputs!$C$44,IF($C$104="retrofit",Inputs!$C$45,IF($C$104="relet",Inputs!$C$55,0))),0)</f>
        <v>0</v>
      </c>
    </row>
    <row r="136" customFormat="false" ht="15" hidden="false" customHeight="false" outlineLevel="0" collapsed="false">
      <c r="B136" s="29" t="s">
        <v>161</v>
      </c>
      <c r="E136" s="30" t="n">
        <f aca="false">E132-E133-E134-E135</f>
        <v>-34.5159552</v>
      </c>
      <c r="F136" s="30" t="n">
        <f aca="false">F132-F133-F134-F135</f>
        <v>-33.197245056</v>
      </c>
      <c r="G136" s="30" t="n">
        <f aca="false">G132-G133-G134-G135</f>
        <v>79.21415009088</v>
      </c>
      <c r="H136" s="30" t="n">
        <f aca="false">H132-H133-H134-H135</f>
        <v>81.0938216246976</v>
      </c>
      <c r="I136" s="30" t="n">
        <f aca="false">I132-I133-I134-I135</f>
        <v>81.1249491641916</v>
      </c>
      <c r="J136" s="30" t="n">
        <f aca="false">J132-J133-J134-J135</f>
        <v>82.5497857067254</v>
      </c>
      <c r="K136" s="30" t="n">
        <f aca="false">K132-K133-K134-K135</f>
        <v>83.9979571836874</v>
      </c>
      <c r="L136" s="30" t="n">
        <f aca="false">L132-L133-L134-L135</f>
        <v>85.4697885868815</v>
      </c>
      <c r="M136" s="30" t="n">
        <f aca="false">M132-M133-M134-M135</f>
        <v>27.5444850566513</v>
      </c>
      <c r="N136" s="30" t="n">
        <f aca="false">N132-N133-N134-N135</f>
        <v>28.0333371363172</v>
      </c>
      <c r="O136" s="30" t="n">
        <f aca="false">O132-O133-O134-O135</f>
        <v>28.5303473254125</v>
      </c>
    </row>
    <row r="137" customFormat="false" ht="15" hidden="false" customHeight="false" outlineLevel="0" collapsed="false">
      <c r="B137" s="6" t="s">
        <v>162</v>
      </c>
    </row>
    <row r="139" customFormat="false" ht="15" hidden="false" customHeight="false" outlineLevel="0" collapsed="false">
      <c r="B139" s="9" t="s">
        <v>163</v>
      </c>
      <c r="C139" s="23" t="n">
        <f aca="false">IF($C$104="renew",Inputs!$C$67,IF($C$104="retrofit",Inputs!$C$68,IF($C$104="relet",Inputs!$C$69,Inputs!$C$70)))+$C$110</f>
        <v>0.06</v>
      </c>
    </row>
    <row r="140" customFormat="false" ht="15" hidden="false" customHeight="false" outlineLevel="0" collapsed="false">
      <c r="B140" s="9" t="s">
        <v>164</v>
      </c>
      <c r="C140" s="24" t="n">
        <f aca="false">O127+O129-O130-Inputs!$C$12*O127</f>
        <v>32.1051648944678</v>
      </c>
    </row>
    <row r="141" customFormat="false" ht="15" hidden="false" customHeight="false" outlineLevel="0" collapsed="false">
      <c r="B141" s="9" t="s">
        <v>165</v>
      </c>
      <c r="C141" s="24" t="n">
        <f aca="false">O132-$C$140</f>
        <v>-2.20402286212436</v>
      </c>
    </row>
    <row r="142" customFormat="false" ht="15" hidden="false" customHeight="false" outlineLevel="0" collapsed="false">
      <c r="B142" s="9" t="s">
        <v>166</v>
      </c>
      <c r="C142" s="24" t="n">
        <f aca="false">IF($C$104="stranded",Inputs!$C$57*Inputs!$C$6-Inputs!$C$58,0)</f>
        <v>39.2</v>
      </c>
    </row>
    <row r="143" customFormat="false" ht="15" hidden="false" customHeight="false" outlineLevel="0" collapsed="false">
      <c r="B143" s="9" t="s">
        <v>167</v>
      </c>
      <c r="C143" s="24" t="n">
        <f aca="false">($C$140+$C$141)/$C$139+$C$142</f>
        <v>537.552367205724</v>
      </c>
    </row>
    <row r="144" customFormat="false" ht="15" hidden="false" customHeight="false" outlineLevel="0" collapsed="false">
      <c r="B144" s="29" t="s">
        <v>168</v>
      </c>
      <c r="C144" s="30" t="n">
        <f aca="false">$C$143*(1-Inputs!$C$66)</f>
        <v>529.489081697639</v>
      </c>
    </row>
    <row r="145" customFormat="false" ht="15" hidden="false" customHeight="false" outlineLevel="0" collapsed="false">
      <c r="B145" s="9" t="s">
        <v>169</v>
      </c>
      <c r="C145" s="24" t="n">
        <f aca="false">$C$114*(1+Inputs!$C$65)</f>
        <v>918</v>
      </c>
    </row>
    <row r="147" customFormat="false" ht="15" hidden="false" customHeight="false" outlineLevel="0" collapsed="false">
      <c r="B147" s="25" t="s">
        <v>170</v>
      </c>
      <c r="C147" s="26"/>
      <c r="D147" s="26" t="n">
        <v>0</v>
      </c>
      <c r="E147" s="26" t="n">
        <v>1</v>
      </c>
      <c r="F147" s="26" t="n">
        <v>2</v>
      </c>
      <c r="G147" s="26" t="n">
        <v>3</v>
      </c>
      <c r="H147" s="26" t="n">
        <v>4</v>
      </c>
      <c r="I147" s="26" t="n">
        <v>5</v>
      </c>
      <c r="J147" s="26" t="n">
        <v>6</v>
      </c>
      <c r="K147" s="26" t="n">
        <v>7</v>
      </c>
      <c r="L147" s="26" t="n">
        <v>8</v>
      </c>
      <c r="M147" s="26" t="n">
        <v>9</v>
      </c>
      <c r="N147" s="26" t="n">
        <v>10</v>
      </c>
    </row>
    <row r="148" customFormat="false" ht="15" hidden="false" customHeight="false" outlineLevel="0" collapsed="false">
      <c r="B148" s="29" t="s">
        <v>171</v>
      </c>
      <c r="D148" s="30" t="n">
        <f aca="false">-$C$145</f>
        <v>-918</v>
      </c>
      <c r="E148" s="30" t="n">
        <f aca="false">E136</f>
        <v>-34.5159552</v>
      </c>
      <c r="F148" s="30" t="n">
        <f aca="false">F136</f>
        <v>-33.197245056</v>
      </c>
      <c r="G148" s="30" t="n">
        <f aca="false">G136</f>
        <v>79.21415009088</v>
      </c>
      <c r="H148" s="30" t="n">
        <f aca="false">H136</f>
        <v>81.0938216246976</v>
      </c>
      <c r="I148" s="30" t="n">
        <f aca="false">I136</f>
        <v>81.1249491641916</v>
      </c>
      <c r="J148" s="30" t="n">
        <f aca="false">J136</f>
        <v>82.5497857067254</v>
      </c>
      <c r="K148" s="30" t="n">
        <f aca="false">K136</f>
        <v>83.9979571836874</v>
      </c>
      <c r="L148" s="30" t="n">
        <f aca="false">L136</f>
        <v>85.4697885868815</v>
      </c>
      <c r="M148" s="30" t="n">
        <f aca="false">M136</f>
        <v>27.5444850566513</v>
      </c>
      <c r="N148" s="30" t="n">
        <f aca="false">N136+$C$144</f>
        <v>557.522418833956</v>
      </c>
    </row>
    <row r="149" customFormat="false" ht="15" hidden="false" customHeight="false" outlineLevel="0" collapsed="false">
      <c r="B149" s="29" t="s">
        <v>172</v>
      </c>
      <c r="C149" s="31" t="n">
        <f aca="false">IRR(D148:N148,0.08)</f>
        <v>0.0116062523389709</v>
      </c>
    </row>
    <row r="152" customFormat="false" ht="15" hidden="false" customHeight="false" outlineLevel="0" collapsed="false">
      <c r="B152" s="7" t="s">
        <v>227</v>
      </c>
      <c r="C152" s="8"/>
      <c r="D152" s="8"/>
      <c r="E152" s="8"/>
      <c r="F152" s="8"/>
      <c r="G152" s="8"/>
      <c r="H152" s="8"/>
      <c r="I152" s="8"/>
      <c r="J152" s="8"/>
      <c r="K152" s="8"/>
      <c r="L152" s="8"/>
      <c r="M152" s="8"/>
      <c r="N152" s="8"/>
      <c r="O152" s="8"/>
    </row>
    <row r="153" customFormat="false" ht="15" hidden="false" customHeight="false" outlineLevel="0" collapsed="false">
      <c r="B153" s="9" t="s">
        <v>130</v>
      </c>
      <c r="C153" s="18" t="str">
        <f aca="false">Inputs!$C$42</f>
        <v>renew</v>
      </c>
    </row>
    <row r="154" customFormat="false" ht="15" hidden="false" customHeight="false" outlineLevel="0" collapsed="false">
      <c r="B154" s="9" t="s">
        <v>131</v>
      </c>
      <c r="C154" s="19" t="n">
        <f aca="false">Inputs!$C$92</f>
        <v>0.4</v>
      </c>
    </row>
    <row r="155" customFormat="false" ht="15" hidden="false" customHeight="false" outlineLevel="0" collapsed="false">
      <c r="B155" s="9" t="s">
        <v>132</v>
      </c>
      <c r="C155" s="20" t="n">
        <f aca="false">Inputs!$C$32</f>
        <v>3</v>
      </c>
    </row>
    <row r="156" customFormat="false" ht="15" hidden="false" customHeight="false" outlineLevel="0" collapsed="false">
      <c r="B156" s="9" t="s">
        <v>133</v>
      </c>
      <c r="C156" s="13" t="n">
        <v>0</v>
      </c>
    </row>
    <row r="157" customFormat="false" ht="15" hidden="false" customHeight="false" outlineLevel="0" collapsed="false">
      <c r="B157" s="9" t="s">
        <v>134</v>
      </c>
      <c r="C157" s="21" t="n">
        <f aca="false">Inputs!$C$60</f>
        <v>0.45</v>
      </c>
    </row>
    <row r="158" customFormat="false" ht="15" hidden="false" customHeight="false" outlineLevel="0" collapsed="false">
      <c r="B158" s="9" t="s">
        <v>135</v>
      </c>
      <c r="C158" s="22" t="n">
        <f aca="false">Inputs!$C$61</f>
        <v>1.55</v>
      </c>
    </row>
    <row r="159" customFormat="false" ht="15" hidden="false" customHeight="false" outlineLevel="0" collapsed="false">
      <c r="B159" s="9" t="s">
        <v>136</v>
      </c>
      <c r="C159" s="23" t="n">
        <f aca="false">Inputs!$C$71</f>
        <v>0</v>
      </c>
    </row>
    <row r="160" customFormat="false" ht="15" hidden="false" customHeight="false" outlineLevel="0" collapsed="false">
      <c r="B160" s="9" t="s">
        <v>30</v>
      </c>
      <c r="C160" s="22" t="n">
        <f aca="false">Inputs!$C$18</f>
        <v>1.4</v>
      </c>
    </row>
    <row r="161" customFormat="false" ht="15" hidden="false" customHeight="false" outlineLevel="0" collapsed="false">
      <c r="B161" s="9" t="s">
        <v>137</v>
      </c>
      <c r="C161" s="19" t="n">
        <f aca="false">Inputs!$C$43</f>
        <v>0.9</v>
      </c>
    </row>
    <row r="162" customFormat="false" ht="15" hidden="false" customHeight="false" outlineLevel="0" collapsed="false">
      <c r="B162" s="9" t="s">
        <v>138</v>
      </c>
      <c r="C162" s="24" t="n">
        <f aca="false">Inputs!$C$49</f>
        <v>120</v>
      </c>
    </row>
    <row r="163" customFormat="false" ht="15" hidden="false" customHeight="false" outlineLevel="0" collapsed="false">
      <c r="B163" s="9" t="s">
        <v>139</v>
      </c>
      <c r="C163" s="24" t="n">
        <f aca="false">Inputs!$C$64</f>
        <v>900</v>
      </c>
    </row>
    <row r="164" customFormat="false" ht="15" hidden="false" customHeight="false" outlineLevel="0" collapsed="false">
      <c r="B164" s="9" t="s">
        <v>140</v>
      </c>
      <c r="C164" s="24" t="n">
        <f aca="false">Inputs!$C$6*1000*Inputs!$C$7*12*(1+Inputs!$C$8)^(Inputs!$C$9-1)/1000000</f>
        <v>60.8711509000706</v>
      </c>
    </row>
    <row r="165" customFormat="false" ht="15" hidden="false" customHeight="false" outlineLevel="0" collapsed="false">
      <c r="B165" s="25" t="s">
        <v>141</v>
      </c>
      <c r="C165" s="26"/>
      <c r="E165" s="26" t="n">
        <v>1</v>
      </c>
      <c r="F165" s="26" t="n">
        <v>2</v>
      </c>
      <c r="G165" s="26" t="n">
        <v>3</v>
      </c>
      <c r="H165" s="26" t="n">
        <v>4</v>
      </c>
      <c r="I165" s="26" t="n">
        <v>5</v>
      </c>
      <c r="J165" s="26" t="n">
        <v>6</v>
      </c>
      <c r="K165" s="26" t="n">
        <v>7</v>
      </c>
      <c r="L165" s="26" t="n">
        <v>8</v>
      </c>
      <c r="M165" s="26" t="n">
        <v>9</v>
      </c>
      <c r="N165" s="26" t="n">
        <v>10</v>
      </c>
      <c r="O165" s="26" t="n">
        <v>11</v>
      </c>
    </row>
    <row r="166" customFormat="false" ht="15" hidden="false" customHeight="false" outlineLevel="0" collapsed="false">
      <c r="B166" s="9" t="s">
        <v>142</v>
      </c>
      <c r="E166" s="24" t="n">
        <f aca="false">IF(E$165&lt;=Inputs!$C$22,Inputs!$C$21,Inputs!$C$23*(1+Inputs!$C$24)^(E$165-5)*IF(AND($C$154&lt;&gt;0,E$165&gt;=Inputs!$C$26),1+$C$154,1))</f>
        <v>61</v>
      </c>
      <c r="F166" s="24" t="n">
        <f aca="false">IF(F$165&lt;=Inputs!$C$22,Inputs!$C$21,Inputs!$C$23*(1+Inputs!$C$24)^(F$165-5)*IF(AND($C$154&lt;&gt;0,F$165&gt;=Inputs!$C$26),1+$C$154,1))</f>
        <v>61</v>
      </c>
      <c r="G166" s="24" t="n">
        <f aca="false">IF(G$165&lt;=Inputs!$C$22,Inputs!$C$21,Inputs!$C$23*(1+Inputs!$C$24)^(G$165-5)*IF(AND($C$154&lt;&gt;0,G$165&gt;=Inputs!$C$26),1+$C$154,1))</f>
        <v>61</v>
      </c>
      <c r="H166" s="24" t="n">
        <f aca="false">IF(H$165&lt;=Inputs!$C$22,Inputs!$C$21,Inputs!$C$23*(1+Inputs!$C$24)^(H$165-5)*IF(AND($C$154&lt;&gt;0,H$165&gt;=Inputs!$C$26),1+$C$154,1))</f>
        <v>61</v>
      </c>
      <c r="I166" s="24" t="n">
        <f aca="false">IF(I$165&lt;=Inputs!$C$22,Inputs!$C$21,Inputs!$C$23*(1+Inputs!$C$24)^(I$165-5)*IF(AND($C$154&lt;&gt;0,I$165&gt;=Inputs!$C$26),1+$C$154,1))</f>
        <v>93.8</v>
      </c>
      <c r="J166" s="24" t="n">
        <f aca="false">IF(J$165&lt;=Inputs!$C$22,Inputs!$C$21,Inputs!$C$23*(1+Inputs!$C$24)^(J$165-5)*IF(AND($C$154&lt;&gt;0,J$165&gt;=Inputs!$C$26),1+$C$154,1))</f>
        <v>96.145</v>
      </c>
      <c r="K166" s="24" t="n">
        <f aca="false">IF(K$165&lt;=Inputs!$C$22,Inputs!$C$21,Inputs!$C$23*(1+Inputs!$C$24)^(K$165-5)*IF(AND($C$154&lt;&gt;0,K$165&gt;=Inputs!$C$26),1+$C$154,1))</f>
        <v>98.548625</v>
      </c>
      <c r="L166" s="24" t="n">
        <f aca="false">IF(L$165&lt;=Inputs!$C$22,Inputs!$C$21,Inputs!$C$23*(1+Inputs!$C$24)^(L$165-5)*IF(AND($C$154&lt;&gt;0,L$165&gt;=Inputs!$C$26),1+$C$154,1))</f>
        <v>101.012340625</v>
      </c>
      <c r="M166" s="24" t="n">
        <f aca="false">IF(M$165&lt;=Inputs!$C$22,Inputs!$C$21,Inputs!$C$23*(1+Inputs!$C$24)^(M$165-5)*IF(AND($C$154&lt;&gt;0,M$165&gt;=Inputs!$C$26),1+$C$154,1))</f>
        <v>103.537649140625</v>
      </c>
      <c r="N166" s="24" t="n">
        <f aca="false">IF(N$165&lt;=Inputs!$C$22,Inputs!$C$21,Inputs!$C$23*(1+Inputs!$C$24)^(N$165-5)*IF(AND($C$154&lt;&gt;0,N$165&gt;=Inputs!$C$26),1+$C$154,1))</f>
        <v>106.126090369141</v>
      </c>
      <c r="O166" s="24" t="n">
        <f aca="false">IF(O$165&lt;=Inputs!$C$22,Inputs!$C$21,Inputs!$C$23*(1+Inputs!$C$24)^(O$165-5)*IF(AND($C$154&lt;&gt;0,O$165&gt;=Inputs!$C$26),1+$C$154,1))</f>
        <v>108.779242628369</v>
      </c>
    </row>
    <row r="167" customFormat="false" ht="15" hidden="false" customHeight="false" outlineLevel="0" collapsed="false">
      <c r="B167" s="9" t="s">
        <v>143</v>
      </c>
      <c r="E167" s="24" t="n">
        <f aca="false">Inputs!$C$19*(1+Inputs!$C$20)^(E$165-1)</f>
        <v>74</v>
      </c>
      <c r="F167" s="24" t="n">
        <f aca="false">Inputs!$C$19*(1+Inputs!$C$20)^(F$165-1)</f>
        <v>75.48</v>
      </c>
      <c r="G167" s="24" t="n">
        <f aca="false">Inputs!$C$19*(1+Inputs!$C$20)^(G$165-1)</f>
        <v>76.9896</v>
      </c>
      <c r="H167" s="24" t="n">
        <f aca="false">Inputs!$C$19*(1+Inputs!$C$20)^(H$165-1)</f>
        <v>78.529392</v>
      </c>
      <c r="I167" s="24" t="n">
        <f aca="false">Inputs!$C$19*(1+Inputs!$C$20)^(I$165-1)</f>
        <v>80.09997984</v>
      </c>
      <c r="J167" s="24" t="n">
        <f aca="false">Inputs!$C$19*(1+Inputs!$C$20)^(J$165-1)</f>
        <v>81.7019794368</v>
      </c>
      <c r="K167" s="24" t="n">
        <f aca="false">Inputs!$C$19*(1+Inputs!$C$20)^(K$165-1)</f>
        <v>83.336019025536</v>
      </c>
      <c r="L167" s="24" t="n">
        <f aca="false">Inputs!$C$19*(1+Inputs!$C$20)^(L$165-1)</f>
        <v>85.0027394060467</v>
      </c>
      <c r="M167" s="24" t="n">
        <f aca="false">Inputs!$C$19*(1+Inputs!$C$20)^(M$165-1)</f>
        <v>86.7027941941677</v>
      </c>
      <c r="N167" s="24" t="n">
        <f aca="false">Inputs!$C$19*(1+Inputs!$C$20)^(N$165-1)</f>
        <v>88.436850078051</v>
      </c>
      <c r="O167" s="24" t="n">
        <f aca="false">Inputs!$C$19*(1+Inputs!$C$20)^(O$165-1)</f>
        <v>90.205587079612</v>
      </c>
    </row>
    <row r="168" customFormat="false" ht="15" hidden="false" customHeight="false" outlineLevel="0" collapsed="false">
      <c r="B168" s="9" t="s">
        <v>144</v>
      </c>
      <c r="E168" s="27" t="n">
        <f aca="false">(1+Inputs!$C$11)^(E$165-1)</f>
        <v>1</v>
      </c>
      <c r="F168" s="27" t="n">
        <f aca="false">(1+Inputs!$C$11)^(F$165-1)</f>
        <v>1.03</v>
      </c>
      <c r="G168" s="27" t="n">
        <f aca="false">(1+Inputs!$C$11)^(G$165-1)</f>
        <v>1.0609</v>
      </c>
      <c r="H168" s="27" t="n">
        <f aca="false">(1+Inputs!$C$11)^(H$165-1)</f>
        <v>1.092727</v>
      </c>
      <c r="I168" s="27" t="n">
        <f aca="false">(1+Inputs!$C$11)^(I$165-1)</f>
        <v>1.12550881</v>
      </c>
      <c r="J168" s="27" t="n">
        <f aca="false">(1+Inputs!$C$11)^(J$165-1)</f>
        <v>1.1592740743</v>
      </c>
      <c r="K168" s="27" t="n">
        <f aca="false">(1+Inputs!$C$11)^(K$165-1)</f>
        <v>1.194052296529</v>
      </c>
      <c r="L168" s="27" t="n">
        <f aca="false">(1+Inputs!$C$11)^(L$165-1)</f>
        <v>1.22987386542487</v>
      </c>
      <c r="M168" s="27" t="n">
        <f aca="false">(1+Inputs!$C$11)^(M$165-1)</f>
        <v>1.26677008138762</v>
      </c>
      <c r="N168" s="27" t="n">
        <f aca="false">(1+Inputs!$C$11)^(N$165-1)</f>
        <v>1.30477318382925</v>
      </c>
      <c r="O168" s="27" t="n">
        <f aca="false">(1+Inputs!$C$11)^(O$165-1)</f>
        <v>1.34391637934412</v>
      </c>
    </row>
    <row r="169" customFormat="false" ht="15" hidden="false" customHeight="false" outlineLevel="0" collapsed="false">
      <c r="B169" s="9" t="s">
        <v>145</v>
      </c>
      <c r="E169" s="19" t="n">
        <f aca="false">IF(OR(E$165&lt;=Inputs!$C$9,$C$153="renew"),IF(AND($C$156&gt;0,E$165&gt;=$C$156),$C$157,Inputs!$C$16),IF($C$153="stranded",0,Inputs!$C$16))</f>
        <v>0.8</v>
      </c>
      <c r="F169" s="19" t="n">
        <f aca="false">IF(OR(F$165&lt;=Inputs!$C$9,$C$153="renew"),IF(AND($C$156&gt;0,F$165&gt;=$C$156),$C$157,Inputs!$C$16),IF($C$153="stranded",0,Inputs!$C$16))</f>
        <v>0.8</v>
      </c>
      <c r="G169" s="19" t="n">
        <f aca="false">IF(OR(G$165&lt;=Inputs!$C$9,$C$153="renew"),IF(AND($C$156&gt;0,G$165&gt;=$C$156),$C$157,Inputs!$C$16),IF($C$153="stranded",0,Inputs!$C$16))</f>
        <v>0.8</v>
      </c>
      <c r="H169" s="19" t="n">
        <f aca="false">IF(OR(H$165&lt;=Inputs!$C$9,$C$153="renew"),IF(AND($C$156&gt;0,H$165&gt;=$C$156),$C$157,Inputs!$C$16),IF($C$153="stranded",0,Inputs!$C$16))</f>
        <v>0.8</v>
      </c>
      <c r="I169" s="19" t="n">
        <f aca="false">IF(OR(I$165&lt;=Inputs!$C$9,$C$153="renew"),IF(AND($C$156&gt;0,I$165&gt;=$C$156),$C$157,Inputs!$C$16),IF($C$153="stranded",0,Inputs!$C$16))</f>
        <v>0.8</v>
      </c>
      <c r="J169" s="19" t="n">
        <f aca="false">IF(OR(J$165&lt;=Inputs!$C$9,$C$153="renew"),IF(AND($C$156&gt;0,J$165&gt;=$C$156),$C$157,Inputs!$C$16),IF($C$153="stranded",0,Inputs!$C$16))</f>
        <v>0.8</v>
      </c>
      <c r="K169" s="19" t="n">
        <f aca="false">IF(OR(K$165&lt;=Inputs!$C$9,$C$153="renew"),IF(AND($C$156&gt;0,K$165&gt;=$C$156),$C$157,Inputs!$C$16),IF($C$153="stranded",0,Inputs!$C$16))</f>
        <v>0.8</v>
      </c>
      <c r="L169" s="19" t="n">
        <f aca="false">IF(OR(L$165&lt;=Inputs!$C$9,$C$153="renew"),IF(AND($C$156&gt;0,L$165&gt;=$C$156),$C$157,Inputs!$C$16),IF($C$153="stranded",0,Inputs!$C$16))</f>
        <v>0.8</v>
      </c>
      <c r="M169" s="19" t="n">
        <f aca="false">IF(OR(M$165&lt;=Inputs!$C$9,$C$153="renew"),IF(AND($C$156&gt;0,M$165&gt;=$C$156),$C$157,Inputs!$C$16),IF($C$153="stranded",0,Inputs!$C$16))</f>
        <v>0.8</v>
      </c>
      <c r="N169" s="19" t="n">
        <f aca="false">IF(OR(N$165&lt;=Inputs!$C$9,$C$153="renew"),IF(AND($C$156&gt;0,N$165&gt;=$C$156),$C$157,Inputs!$C$16),IF($C$153="stranded",0,Inputs!$C$16))</f>
        <v>0.8</v>
      </c>
      <c r="O169" s="19" t="n">
        <f aca="false">IF(OR(O$165&lt;=Inputs!$C$9,$C$153="renew"),IF(AND($C$156&gt;0,O$165&gt;=$C$156),$C$157,Inputs!$C$16),IF($C$153="stranded",0,Inputs!$C$16))</f>
        <v>0.8</v>
      </c>
    </row>
    <row r="170" customFormat="false" ht="15" hidden="false" customHeight="false" outlineLevel="0" collapsed="false">
      <c r="B170" s="9" t="s">
        <v>146</v>
      </c>
      <c r="E170" s="22" t="n">
        <f aca="false">IF(OR(E$165&lt;=Inputs!$C$9,$C$153="renew"),IF(AND($C$156&gt;0,E$165&gt;=$C$156),$C$158,$C$160),IF($C$153="retrofit",Inputs!$C$47,IF($C$153="relet",Inputs!$C$53,0)))</f>
        <v>1.4</v>
      </c>
      <c r="F170" s="22" t="n">
        <f aca="false">IF(OR(F$165&lt;=Inputs!$C$9,$C$153="renew"),IF(AND($C$156&gt;0,F$165&gt;=$C$156),$C$158,$C$160),IF($C$153="retrofit",Inputs!$C$47,IF($C$153="relet",Inputs!$C$53,0)))</f>
        <v>1.4</v>
      </c>
      <c r="G170" s="22" t="n">
        <f aca="false">IF(OR(G$165&lt;=Inputs!$C$9,$C$153="renew"),IF(AND($C$156&gt;0,G$165&gt;=$C$156),$C$158,$C$160),IF($C$153="retrofit",Inputs!$C$47,IF($C$153="relet",Inputs!$C$53,0)))</f>
        <v>1.4</v>
      </c>
      <c r="H170" s="22" t="n">
        <f aca="false">IF(OR(H$165&lt;=Inputs!$C$9,$C$153="renew"),IF(AND($C$156&gt;0,H$165&gt;=$C$156),$C$158,$C$160),IF($C$153="retrofit",Inputs!$C$47,IF($C$153="relet",Inputs!$C$53,0)))</f>
        <v>1.4</v>
      </c>
      <c r="I170" s="22" t="n">
        <f aca="false">IF(OR(I$165&lt;=Inputs!$C$9,$C$153="renew"),IF(AND($C$156&gt;0,I$165&gt;=$C$156),$C$158,$C$160),IF($C$153="retrofit",Inputs!$C$47,IF($C$153="relet",Inputs!$C$53,0)))</f>
        <v>1.4</v>
      </c>
      <c r="J170" s="22" t="n">
        <f aca="false">IF(OR(J$165&lt;=Inputs!$C$9,$C$153="renew"),IF(AND($C$156&gt;0,J$165&gt;=$C$156),$C$158,$C$160),IF($C$153="retrofit",Inputs!$C$47,IF($C$153="relet",Inputs!$C$53,0)))</f>
        <v>1.4</v>
      </c>
      <c r="K170" s="22" t="n">
        <f aca="false">IF(OR(K$165&lt;=Inputs!$C$9,$C$153="renew"),IF(AND($C$156&gt;0,K$165&gt;=$C$156),$C$158,$C$160),IF($C$153="retrofit",Inputs!$C$47,IF($C$153="relet",Inputs!$C$53,0)))</f>
        <v>1.4</v>
      </c>
      <c r="L170" s="22" t="n">
        <f aca="false">IF(OR(L$165&lt;=Inputs!$C$9,$C$153="renew"),IF(AND($C$156&gt;0,L$165&gt;=$C$156),$C$158,$C$160),IF($C$153="retrofit",Inputs!$C$47,IF($C$153="relet",Inputs!$C$53,0)))</f>
        <v>1.4</v>
      </c>
      <c r="M170" s="22" t="n">
        <f aca="false">IF(OR(M$165&lt;=Inputs!$C$9,$C$153="renew"),IF(AND($C$156&gt;0,M$165&gt;=$C$156),$C$158,$C$160),IF($C$153="retrofit",Inputs!$C$47,IF($C$153="relet",Inputs!$C$53,0)))</f>
        <v>1.4</v>
      </c>
      <c r="N170" s="22" t="n">
        <f aca="false">IF(OR(N$165&lt;=Inputs!$C$9,$C$153="renew"),IF(AND($C$156&gt;0,N$165&gt;=$C$156),$C$158,$C$160),IF($C$153="retrofit",Inputs!$C$47,IF($C$153="relet",Inputs!$C$53,0)))</f>
        <v>1.4</v>
      </c>
      <c r="O170" s="22" t="n">
        <f aca="false">IF(OR(O$165&lt;=Inputs!$C$9,$C$153="renew"),IF(AND($C$156&gt;0,O$165&gt;=$C$156),$C$158,$C$160),IF($C$153="retrofit",Inputs!$C$47,IF($C$153="relet",Inputs!$C$53,0)))</f>
        <v>1.4</v>
      </c>
    </row>
    <row r="171" customFormat="false" ht="15" hidden="false" customHeight="false" outlineLevel="0" collapsed="false">
      <c r="B171" s="9" t="s">
        <v>147</v>
      </c>
      <c r="E171" s="21" t="n">
        <f aca="false">IF(OR(E$165&lt;=Inputs!$C$9,$C$153="renew"),1,IF($C$153="retrofit",IF(E$165-Inputs!$C$9=1,0,1),IF($C$153="relet",CHOOSE(MIN(E$165-Inputs!$C$9,3),Inputs!$C$50,Inputs!$C$51,Inputs!$C$52),0)))</f>
        <v>1</v>
      </c>
      <c r="F171" s="21" t="n">
        <f aca="false">IF(OR(F$165&lt;=Inputs!$C$9,$C$153="renew"),1,IF($C$153="retrofit",IF(F$165-Inputs!$C$9=1,0,1),IF($C$153="relet",CHOOSE(MIN(F$165-Inputs!$C$9,3),Inputs!$C$50,Inputs!$C$51,Inputs!$C$52),0)))</f>
        <v>1</v>
      </c>
      <c r="G171" s="21" t="n">
        <f aca="false">IF(OR(G$165&lt;=Inputs!$C$9,$C$153="renew"),1,IF($C$153="retrofit",IF(G$165-Inputs!$C$9=1,0,1),IF($C$153="relet",CHOOSE(MIN(G$165-Inputs!$C$9,3),Inputs!$C$50,Inputs!$C$51,Inputs!$C$52),0)))</f>
        <v>1</v>
      </c>
      <c r="H171" s="21" t="n">
        <f aca="false">IF(OR(H$165&lt;=Inputs!$C$9,$C$153="renew"),1,IF($C$153="retrofit",IF(H$165-Inputs!$C$9=1,0,1),IF($C$153="relet",CHOOSE(MIN(H$165-Inputs!$C$9,3),Inputs!$C$50,Inputs!$C$51,Inputs!$C$52),0)))</f>
        <v>1</v>
      </c>
      <c r="I171" s="21" t="n">
        <f aca="false">IF(OR(I$165&lt;=Inputs!$C$9,$C$153="renew"),1,IF($C$153="retrofit",IF(I$165-Inputs!$C$9=1,0,1),IF($C$153="relet",CHOOSE(MIN(I$165-Inputs!$C$9,3),Inputs!$C$50,Inputs!$C$51,Inputs!$C$52),0)))</f>
        <v>1</v>
      </c>
      <c r="J171" s="21" t="n">
        <f aca="false">IF(OR(J$165&lt;=Inputs!$C$9,$C$153="renew"),1,IF($C$153="retrofit",IF(J$165-Inputs!$C$9=1,0,1),IF($C$153="relet",CHOOSE(MIN(J$165-Inputs!$C$9,3),Inputs!$C$50,Inputs!$C$51,Inputs!$C$52),0)))</f>
        <v>1</v>
      </c>
      <c r="K171" s="21" t="n">
        <f aca="false">IF(OR(K$165&lt;=Inputs!$C$9,$C$153="renew"),1,IF($C$153="retrofit",IF(K$165-Inputs!$C$9=1,0,1),IF($C$153="relet",CHOOSE(MIN(K$165-Inputs!$C$9,3),Inputs!$C$50,Inputs!$C$51,Inputs!$C$52),0)))</f>
        <v>1</v>
      </c>
      <c r="L171" s="21" t="n">
        <f aca="false">IF(OR(L$165&lt;=Inputs!$C$9,$C$153="renew"),1,IF($C$153="retrofit",IF(L$165-Inputs!$C$9=1,0,1),IF($C$153="relet",CHOOSE(MIN(L$165-Inputs!$C$9,3),Inputs!$C$50,Inputs!$C$51,Inputs!$C$52),0)))</f>
        <v>1</v>
      </c>
      <c r="M171" s="21" t="n">
        <f aca="false">IF(OR(M$165&lt;=Inputs!$C$9,$C$153="renew"),1,IF($C$153="retrofit",IF(M$165-Inputs!$C$9=1,0,1),IF($C$153="relet",CHOOSE(MIN(M$165-Inputs!$C$9,3),Inputs!$C$50,Inputs!$C$51,Inputs!$C$52),0)))</f>
        <v>1</v>
      </c>
      <c r="N171" s="21" t="n">
        <f aca="false">IF(OR(N$165&lt;=Inputs!$C$9,$C$153="renew"),1,IF($C$153="retrofit",IF(N$165-Inputs!$C$9=1,0,1),IF($C$153="relet",CHOOSE(MIN(N$165-Inputs!$C$9,3),Inputs!$C$50,Inputs!$C$51,Inputs!$C$52),0)))</f>
        <v>1</v>
      </c>
      <c r="O171" s="21" t="n">
        <f aca="false">IF(OR(O$165&lt;=Inputs!$C$9,$C$153="renew"),1,IF($C$153="retrofit",IF(O$165-Inputs!$C$9=1,0,1),IF($C$153="relet",CHOOSE(MIN(O$165-Inputs!$C$9,3),Inputs!$C$50,Inputs!$C$51,Inputs!$C$52),0)))</f>
        <v>1</v>
      </c>
    </row>
    <row r="172" customFormat="false" ht="15" hidden="false" customHeight="false" outlineLevel="0" collapsed="false">
      <c r="B172" s="9" t="s">
        <v>148</v>
      </c>
      <c r="E172" s="28" t="n">
        <f aca="false">Inputs!$C$6*1000*E169*E171*8760/1000</f>
        <v>224256</v>
      </c>
      <c r="F172" s="28" t="n">
        <f aca="false">Inputs!$C$6*1000*F169*F171*8760/1000</f>
        <v>224256</v>
      </c>
      <c r="G172" s="28" t="n">
        <f aca="false">Inputs!$C$6*1000*G169*G171*8760/1000</f>
        <v>224256</v>
      </c>
      <c r="H172" s="28" t="n">
        <f aca="false">Inputs!$C$6*1000*H169*H171*8760/1000</f>
        <v>224256</v>
      </c>
      <c r="I172" s="28" t="n">
        <f aca="false">Inputs!$C$6*1000*I169*I171*8760/1000</f>
        <v>224256</v>
      </c>
      <c r="J172" s="28" t="n">
        <f aca="false">Inputs!$C$6*1000*J169*J171*8760/1000</f>
        <v>224256</v>
      </c>
      <c r="K172" s="28" t="n">
        <f aca="false">Inputs!$C$6*1000*K169*K171*8760/1000</f>
        <v>224256</v>
      </c>
      <c r="L172" s="28" t="n">
        <f aca="false">Inputs!$C$6*1000*L169*L171*8760/1000</f>
        <v>224256</v>
      </c>
      <c r="M172" s="28" t="n">
        <f aca="false">Inputs!$C$6*1000*M169*M171*8760/1000</f>
        <v>224256</v>
      </c>
      <c r="N172" s="28" t="n">
        <f aca="false">Inputs!$C$6*1000*N169*N171*8760/1000</f>
        <v>224256</v>
      </c>
      <c r="O172" s="28" t="n">
        <f aca="false">Inputs!$C$6*1000*O169*O171*8760/1000</f>
        <v>224256</v>
      </c>
    </row>
    <row r="173" customFormat="false" ht="15" hidden="false" customHeight="false" outlineLevel="0" collapsed="false">
      <c r="B173" s="9" t="s">
        <v>149</v>
      </c>
      <c r="E173" s="24" t="n">
        <f aca="false">IF(E$165&lt;=Inputs!$C$9,Inputs!$C$6*1000*Inputs!$C$7*12*(1+Inputs!$C$8)^(E$165-1)/1000000,IF($C$153="renew",$C$164*$C$161*(1+Inputs!$C$8)^(E$165-Inputs!$C$9-1),IF($C$153="retrofit",IF(E$165-Inputs!$C$9=1,0,Inputs!$C$6*1000*Inputs!$C$46*12*(1+Inputs!$C$8)^(E$165-Inputs!$C$9-2)/1000000),IF($C$153="relet",Inputs!$C$6*1000*E171*$C$162*12*(1+Inputs!$C$8)^(E$165-Inputs!$C$9-2)/1000000,0))))</f>
        <v>52.992</v>
      </c>
      <c r="F173" s="24" t="n">
        <f aca="false">IF(F$165&lt;=Inputs!$C$9,Inputs!$C$6*1000*Inputs!$C$7*12*(1+Inputs!$C$8)^(F$165-1)/1000000,IF($C$153="renew",$C$164*$C$161*(1+Inputs!$C$8)^(F$165-Inputs!$C$9-1),IF($C$153="retrofit",IF(F$165-Inputs!$C$9=1,0,Inputs!$C$6*1000*Inputs!$C$46*12*(1+Inputs!$C$8)^(F$165-Inputs!$C$9-2)/1000000),IF($C$153="relet",Inputs!$C$6*1000*F171*$C$162*12*(1+Inputs!$C$8)^(F$165-Inputs!$C$9-2)/1000000,0))))</f>
        <v>54.05184</v>
      </c>
      <c r="G173" s="24" t="n">
        <f aca="false">IF(G$165&lt;=Inputs!$C$9,Inputs!$C$6*1000*Inputs!$C$7*12*(1+Inputs!$C$8)^(G$165-1)/1000000,IF($C$153="renew",$C$164*$C$161*(1+Inputs!$C$8)^(G$165-Inputs!$C$9-1),IF($C$153="retrofit",IF(G$165-Inputs!$C$9=1,0,Inputs!$C$6*1000*Inputs!$C$46*12*(1+Inputs!$C$8)^(G$165-Inputs!$C$9-2)/1000000),IF($C$153="relet",Inputs!$C$6*1000*G171*$C$162*12*(1+Inputs!$C$8)^(G$165-Inputs!$C$9-2)/1000000,0))))</f>
        <v>55.1328768</v>
      </c>
      <c r="H173" s="24" t="n">
        <f aca="false">IF(H$165&lt;=Inputs!$C$9,Inputs!$C$6*1000*Inputs!$C$7*12*(1+Inputs!$C$8)^(H$165-1)/1000000,IF($C$153="renew",$C$164*$C$161*(1+Inputs!$C$8)^(H$165-Inputs!$C$9-1),IF($C$153="retrofit",IF(H$165-Inputs!$C$9=1,0,Inputs!$C$6*1000*Inputs!$C$46*12*(1+Inputs!$C$8)^(H$165-Inputs!$C$9-2)/1000000),IF($C$153="relet",Inputs!$C$6*1000*H171*$C$162*12*(1+Inputs!$C$8)^(H$165-Inputs!$C$9-2)/1000000,0))))</f>
        <v>56.235534336</v>
      </c>
      <c r="I173" s="24" t="n">
        <f aca="false">IF(I$165&lt;=Inputs!$C$9,Inputs!$C$6*1000*Inputs!$C$7*12*(1+Inputs!$C$8)^(I$165-1)/1000000,IF($C$153="renew",$C$164*$C$161*(1+Inputs!$C$8)^(I$165-Inputs!$C$9-1),IF($C$153="retrofit",IF(I$165-Inputs!$C$9=1,0,Inputs!$C$6*1000*Inputs!$C$46*12*(1+Inputs!$C$8)^(I$165-Inputs!$C$9-2)/1000000),IF($C$153="relet",Inputs!$C$6*1000*I171*$C$162*12*(1+Inputs!$C$8)^(I$165-Inputs!$C$9-2)/1000000,0))))</f>
        <v>57.36024502272</v>
      </c>
      <c r="J173" s="24" t="n">
        <f aca="false">IF(J$165&lt;=Inputs!$C$9,Inputs!$C$6*1000*Inputs!$C$7*12*(1+Inputs!$C$8)^(J$165-1)/1000000,IF($C$153="renew",$C$164*$C$161*(1+Inputs!$C$8)^(J$165-Inputs!$C$9-1),IF($C$153="retrofit",IF(J$165-Inputs!$C$9=1,0,Inputs!$C$6*1000*Inputs!$C$46*12*(1+Inputs!$C$8)^(J$165-Inputs!$C$9-2)/1000000),IF($C$153="relet",Inputs!$C$6*1000*J171*$C$162*12*(1+Inputs!$C$8)^(J$165-Inputs!$C$9-2)/1000000,0))))</f>
        <v>58.5074499231744</v>
      </c>
      <c r="K173" s="24" t="n">
        <f aca="false">IF(K$165&lt;=Inputs!$C$9,Inputs!$C$6*1000*Inputs!$C$7*12*(1+Inputs!$C$8)^(K$165-1)/1000000,IF($C$153="renew",$C$164*$C$161*(1+Inputs!$C$8)^(K$165-Inputs!$C$9-1),IF($C$153="retrofit",IF(K$165-Inputs!$C$9=1,0,Inputs!$C$6*1000*Inputs!$C$46*12*(1+Inputs!$C$8)^(K$165-Inputs!$C$9-2)/1000000),IF($C$153="relet",Inputs!$C$6*1000*K171*$C$162*12*(1+Inputs!$C$8)^(K$165-Inputs!$C$9-2)/1000000,0))))</f>
        <v>59.6775989216379</v>
      </c>
      <c r="L173" s="24" t="n">
        <f aca="false">IF(L$165&lt;=Inputs!$C$9,Inputs!$C$6*1000*Inputs!$C$7*12*(1+Inputs!$C$8)^(L$165-1)/1000000,IF($C$153="renew",$C$164*$C$161*(1+Inputs!$C$8)^(L$165-Inputs!$C$9-1),IF($C$153="retrofit",IF(L$165-Inputs!$C$9=1,0,Inputs!$C$6*1000*Inputs!$C$46*12*(1+Inputs!$C$8)^(L$165-Inputs!$C$9-2)/1000000),IF($C$153="relet",Inputs!$C$6*1000*L171*$C$162*12*(1+Inputs!$C$8)^(L$165-Inputs!$C$9-2)/1000000,0))))</f>
        <v>60.8711509000706</v>
      </c>
      <c r="M173" s="24" t="n">
        <f aca="false">IF(M$165&lt;=Inputs!$C$9,Inputs!$C$6*1000*Inputs!$C$7*12*(1+Inputs!$C$8)^(M$165-1)/1000000,IF($C$153="renew",$C$164*$C$161*(1+Inputs!$C$8)^(M$165-Inputs!$C$9-1),IF($C$153="retrofit",IF(M$165-Inputs!$C$9=1,0,Inputs!$C$6*1000*Inputs!$C$46*12*(1+Inputs!$C$8)^(M$165-Inputs!$C$9-2)/1000000),IF($C$153="relet",Inputs!$C$6*1000*M171*$C$162*12*(1+Inputs!$C$8)^(M$165-Inputs!$C$9-2)/1000000,0))))</f>
        <v>54.7840358100636</v>
      </c>
      <c r="N173" s="24" t="n">
        <f aca="false">IF(N$165&lt;=Inputs!$C$9,Inputs!$C$6*1000*Inputs!$C$7*12*(1+Inputs!$C$8)^(N$165-1)/1000000,IF($C$153="renew",$C$164*$C$161*(1+Inputs!$C$8)^(N$165-Inputs!$C$9-1),IF($C$153="retrofit",IF(N$165-Inputs!$C$9=1,0,Inputs!$C$6*1000*Inputs!$C$46*12*(1+Inputs!$C$8)^(N$165-Inputs!$C$9-2)/1000000),IF($C$153="relet",Inputs!$C$6*1000*N171*$C$162*12*(1+Inputs!$C$8)^(N$165-Inputs!$C$9-2)/1000000,0))))</f>
        <v>55.8797165262649</v>
      </c>
      <c r="O173" s="24" t="n">
        <f aca="false">IF(O$165&lt;=Inputs!$C$9,Inputs!$C$6*1000*Inputs!$C$7*12*(1+Inputs!$C$8)^(O$165-1)/1000000,IF($C$153="renew",$C$164*$C$161*(1+Inputs!$C$8)^(O$165-Inputs!$C$9-1),IF($C$153="retrofit",IF(O$165-Inputs!$C$9=1,0,Inputs!$C$6*1000*Inputs!$C$46*12*(1+Inputs!$C$8)^(O$165-Inputs!$C$9-2)/1000000),IF($C$153="relet",Inputs!$C$6*1000*O171*$C$162*12*(1+Inputs!$C$8)^(O$165-Inputs!$C$9-2)/1000000,0))))</f>
        <v>56.9973108567902</v>
      </c>
    </row>
    <row r="174" customFormat="false" ht="15" hidden="false" customHeight="false" outlineLevel="0" collapsed="false">
      <c r="B174" s="9" t="s">
        <v>150</v>
      </c>
      <c r="E174" s="24" t="n">
        <f aca="false">IF(OR(E$165&lt;=Inputs!$C$9,$C$153="renew"),E172*(Inputs!$C$17*E167-E170*E166)/1000000,E172*E170*Inputs!$C$27/1000000)</f>
        <v>2.4219648</v>
      </c>
      <c r="F174" s="24" t="n">
        <f aca="false">IF(OR(F$165&lt;=Inputs!$C$9,$C$153="renew"),F172*(Inputs!$C$17*F167-F170*F166)/1000000,F172*F170*Inputs!$C$27/1000000)</f>
        <v>2.853433344</v>
      </c>
      <c r="G174" s="24" t="n">
        <f aca="false">IF(OR(G$165&lt;=Inputs!$C$9,$C$153="renew"),G172*(Inputs!$C$17*G167-G170*G166)/1000000,G172*G170*Inputs!$C$27/1000000)</f>
        <v>3.29353125888</v>
      </c>
      <c r="H174" s="24" t="n">
        <f aca="false">IF(OR(H$165&lt;=Inputs!$C$9,$C$153="renew"),H172*(Inputs!$C$17*H167-H170*H166)/1000000,H172*H170*Inputs!$C$27/1000000)</f>
        <v>3.74243113205761</v>
      </c>
      <c r="I174" s="24" t="n">
        <f aca="false">IF(OR(I$165&lt;=Inputs!$C$9,$C$153="renew"),I172*(Inputs!$C$17*I167-I170*I166)/1000000,I172*I170*Inputs!$C$27/1000000)</f>
        <v>-6.09752651730125</v>
      </c>
      <c r="J174" s="24" t="n">
        <f aca="false">IF(OR(J$165&lt;=Inputs!$C$9,$C$153="renew"),J172*(Inputs!$C$17*J167-J170*J166)/1000000,J172*J170*Inputs!$C$27/1000000)</f>
        <v>-6.36672353724727</v>
      </c>
      <c r="K174" s="24" t="n">
        <f aca="false">IF(OR(K$165&lt;=Inputs!$C$9,$C$153="renew"),K172*(Inputs!$C$17*K167-K170*K166)/1000000,K172*K170*Inputs!$C$27/1000000)</f>
        <v>-6.64498565983221</v>
      </c>
      <c r="L174" s="24" t="n">
        <f aca="false">IF(OR(L$165&lt;=Inputs!$C$9,$C$153="renew"),L172*(Inputs!$C$17*L167-L170*L166)/1000000,L172*L170*Inputs!$C$27/1000000)</f>
        <v>-6.93258621616485</v>
      </c>
      <c r="M174" s="24" t="n">
        <f aca="false">IF(OR(M$165&lt;=Inputs!$C$9,$C$153="renew"),M172*(Inputs!$C$17*M167-M170*M166)/1000000,M172*M170*Inputs!$C$27/1000000)</f>
        <v>-7.22980630470254</v>
      </c>
      <c r="N174" s="24" t="n">
        <f aca="false">IF(OR(N$165&lt;=Inputs!$C$9,$C$153="renew"),N172*(Inputs!$C$17*N167-N170*N166)/1000000,N172*N170*Inputs!$C$27/1000000)</f>
        <v>-7.53693500411634</v>
      </c>
      <c r="O174" s="24" t="n">
        <f aca="false">IF(OR(O$165&lt;=Inputs!$C$9,$C$153="renew"),O172*(Inputs!$C$17*O167-O170*O166)/1000000,O172*O170*Inputs!$C$27/1000000)</f>
        <v>-7.85426959185143</v>
      </c>
    </row>
    <row r="175" customFormat="false" ht="15" hidden="false" customHeight="false" outlineLevel="0" collapsed="false">
      <c r="B175" s="9" t="s">
        <v>151</v>
      </c>
      <c r="E175" s="24" t="n">
        <f aca="false">Inputs!$C$10*E168*IF(OR(E$165&lt;=Inputs!$C$9,$C$153="renew"),1,IF($C$153="retrofit",IF(E$165-Inputs!$C$9=1,Inputs!$C$48,1),IF($C$153="relet",Inputs!$C$54,Inputs!$C$56)))</f>
        <v>4.1</v>
      </c>
      <c r="F175" s="24" t="n">
        <f aca="false">Inputs!$C$10*F168*IF(OR(F$165&lt;=Inputs!$C$9,$C$153="renew"),1,IF($C$153="retrofit",IF(F$165-Inputs!$C$9=1,Inputs!$C$48,1),IF($C$153="relet",Inputs!$C$54,Inputs!$C$56)))</f>
        <v>4.223</v>
      </c>
      <c r="G175" s="24" t="n">
        <f aca="false">Inputs!$C$10*G168*IF(OR(G$165&lt;=Inputs!$C$9,$C$153="renew"),1,IF($C$153="retrofit",IF(G$165-Inputs!$C$9=1,Inputs!$C$48,1),IF($C$153="relet",Inputs!$C$54,Inputs!$C$56)))</f>
        <v>4.34969</v>
      </c>
      <c r="H175" s="24" t="n">
        <f aca="false">Inputs!$C$10*H168*IF(OR(H$165&lt;=Inputs!$C$9,$C$153="renew"),1,IF($C$153="retrofit",IF(H$165-Inputs!$C$9=1,Inputs!$C$48,1),IF($C$153="relet",Inputs!$C$54,Inputs!$C$56)))</f>
        <v>4.4801807</v>
      </c>
      <c r="I175" s="24" t="n">
        <f aca="false">Inputs!$C$10*I168*IF(OR(I$165&lt;=Inputs!$C$9,$C$153="renew"),1,IF($C$153="retrofit",IF(I$165-Inputs!$C$9=1,Inputs!$C$48,1),IF($C$153="relet",Inputs!$C$54,Inputs!$C$56)))</f>
        <v>4.614586121</v>
      </c>
      <c r="J175" s="24" t="n">
        <f aca="false">Inputs!$C$10*J168*IF(OR(J$165&lt;=Inputs!$C$9,$C$153="renew"),1,IF($C$153="retrofit",IF(J$165-Inputs!$C$9=1,Inputs!$C$48,1),IF($C$153="relet",Inputs!$C$54,Inputs!$C$56)))</f>
        <v>4.75302370463</v>
      </c>
      <c r="K175" s="24" t="n">
        <f aca="false">Inputs!$C$10*K168*IF(OR(K$165&lt;=Inputs!$C$9,$C$153="renew"),1,IF($C$153="retrofit",IF(K$165-Inputs!$C$9=1,Inputs!$C$48,1),IF($C$153="relet",Inputs!$C$54,Inputs!$C$56)))</f>
        <v>4.8956144157689</v>
      </c>
      <c r="L175" s="24" t="n">
        <f aca="false">Inputs!$C$10*L168*IF(OR(L$165&lt;=Inputs!$C$9,$C$153="renew"),1,IF($C$153="retrofit",IF(L$165-Inputs!$C$9=1,Inputs!$C$48,1),IF($C$153="relet",Inputs!$C$54,Inputs!$C$56)))</f>
        <v>5.04248284824197</v>
      </c>
      <c r="M175" s="24" t="n">
        <f aca="false">Inputs!$C$10*M168*IF(OR(M$165&lt;=Inputs!$C$9,$C$153="renew"),1,IF($C$153="retrofit",IF(M$165-Inputs!$C$9=1,Inputs!$C$48,1),IF($C$153="relet",Inputs!$C$54,Inputs!$C$56)))</f>
        <v>5.19375733368923</v>
      </c>
      <c r="N175" s="24" t="n">
        <f aca="false">Inputs!$C$10*N168*IF(OR(N$165&lt;=Inputs!$C$9,$C$153="renew"),1,IF($C$153="retrofit",IF(N$165-Inputs!$C$9=1,Inputs!$C$48,1),IF($C$153="relet",Inputs!$C$54,Inputs!$C$56)))</f>
        <v>5.3495700536999</v>
      </c>
      <c r="O175" s="24" t="n">
        <f aca="false">Inputs!$C$10*O168*IF(OR(O$165&lt;=Inputs!$C$9,$C$153="renew"),1,IF($C$153="retrofit",IF(O$165-Inputs!$C$9=1,Inputs!$C$48,1),IF($C$153="relet",Inputs!$C$54,Inputs!$C$56)))</f>
        <v>5.5100571553109</v>
      </c>
    </row>
    <row r="176" customFormat="false" ht="15" hidden="false" customHeight="false" outlineLevel="0" collapsed="false">
      <c r="B176" s="9" t="s">
        <v>152</v>
      </c>
      <c r="E176" s="24" t="n">
        <f aca="false">IF(E$165&gt;=$C$155,Inputs!$C$30*1000*Inputs!$C$34*12*(1+Inputs!$C$8)^(E$165-$C$155)/1000000*IF(AND(E$165=$C$155,$C$155&gt;Inputs!$C$33),1-MIN(12,Inputs!$C$35*($C$155-Inputs!$C$33)*12)/12,1),0)</f>
        <v>0</v>
      </c>
      <c r="F176" s="24" t="n">
        <f aca="false">IF(F$165&gt;=$C$155,Inputs!$C$30*1000*Inputs!$C$34*12*(1+Inputs!$C$8)^(F$165-$C$155)/1000000*IF(AND(F$165=$C$155,$C$155&gt;Inputs!$C$33),1-MIN(12,Inputs!$C$35*($C$155-Inputs!$C$33)*12)/12,1),0)</f>
        <v>0</v>
      </c>
      <c r="G176" s="24" t="n">
        <f aca="false">IF(G$165&gt;=$C$155,Inputs!$C$30*1000*Inputs!$C$34*12*(1+Inputs!$C$8)^(G$165-$C$155)/1000000*IF(AND(G$165=$C$155,$C$155&gt;Inputs!$C$33),1-MIN(12,Inputs!$C$35*($C$155-Inputs!$C$33)*12)/12,1),0)</f>
        <v>29.184</v>
      </c>
      <c r="H176" s="24" t="n">
        <f aca="false">IF(H$165&gt;=$C$155,Inputs!$C$30*1000*Inputs!$C$34*12*(1+Inputs!$C$8)^(H$165-$C$155)/1000000*IF(AND(H$165=$C$155,$C$155&gt;Inputs!$C$33),1-MIN(12,Inputs!$C$35*($C$155-Inputs!$C$33)*12)/12,1),0)</f>
        <v>29.76768</v>
      </c>
      <c r="I176" s="24" t="n">
        <f aca="false">IF(I$165&gt;=$C$155,Inputs!$C$30*1000*Inputs!$C$34*12*(1+Inputs!$C$8)^(I$165-$C$155)/1000000*IF(AND(I$165=$C$155,$C$155&gt;Inputs!$C$33),1-MIN(12,Inputs!$C$35*($C$155-Inputs!$C$33)*12)/12,1),0)</f>
        <v>30.3630336</v>
      </c>
      <c r="J176" s="24" t="n">
        <f aca="false">IF(J$165&gt;=$C$155,Inputs!$C$30*1000*Inputs!$C$34*12*(1+Inputs!$C$8)^(J$165-$C$155)/1000000*IF(AND(J$165=$C$155,$C$155&gt;Inputs!$C$33),1-MIN(12,Inputs!$C$35*($C$155-Inputs!$C$33)*12)/12,1),0)</f>
        <v>30.970294272</v>
      </c>
      <c r="K176" s="24" t="n">
        <f aca="false">IF(K$165&gt;=$C$155,Inputs!$C$30*1000*Inputs!$C$34*12*(1+Inputs!$C$8)^(K$165-$C$155)/1000000*IF(AND(K$165=$C$155,$C$155&gt;Inputs!$C$33),1-MIN(12,Inputs!$C$35*($C$155-Inputs!$C$33)*12)/12,1),0)</f>
        <v>31.58970015744</v>
      </c>
      <c r="L176" s="24" t="n">
        <f aca="false">IF(L$165&gt;=$C$155,Inputs!$C$30*1000*Inputs!$C$34*12*(1+Inputs!$C$8)^(L$165-$C$155)/1000000*IF(AND(L$165=$C$155,$C$155&gt;Inputs!$C$33),1-MIN(12,Inputs!$C$35*($C$155-Inputs!$C$33)*12)/12,1),0)</f>
        <v>32.2214941605888</v>
      </c>
      <c r="M176" s="24" t="n">
        <f aca="false">IF(M$165&gt;=$C$155,Inputs!$C$30*1000*Inputs!$C$34*12*(1+Inputs!$C$8)^(M$165-$C$155)/1000000*IF(AND(M$165=$C$155,$C$155&gt;Inputs!$C$33),1-MIN(12,Inputs!$C$35*($C$155-Inputs!$C$33)*12)/12,1),0)</f>
        <v>32.8659240438006</v>
      </c>
      <c r="N176" s="24" t="n">
        <f aca="false">IF(N$165&gt;=$C$155,Inputs!$C$30*1000*Inputs!$C$34*12*(1+Inputs!$C$8)^(N$165-$C$155)/1000000*IF(AND(N$165=$C$155,$C$155&gt;Inputs!$C$33),1-MIN(12,Inputs!$C$35*($C$155-Inputs!$C$33)*12)/12,1),0)</f>
        <v>33.5232425246766</v>
      </c>
      <c r="O176" s="24" t="n">
        <f aca="false">IF(O$165&gt;=$C$155,Inputs!$C$30*1000*Inputs!$C$34*12*(1+Inputs!$C$8)^(O$165-$C$155)/1000000*IF(AND(O$165=$C$155,$C$155&gt;Inputs!$C$33),1-MIN(12,Inputs!$C$35*($C$155-Inputs!$C$33)*12)/12,1),0)</f>
        <v>34.1937073751701</v>
      </c>
    </row>
    <row r="177" customFormat="false" ht="15" hidden="false" customHeight="false" outlineLevel="0" collapsed="false">
      <c r="B177" s="9" t="s">
        <v>153</v>
      </c>
      <c r="E177" s="28" t="n">
        <f aca="false">IF(E$165&gt;=$C$155,Inputs!$C$30*1000*Inputs!$C$16*8760/1000,0)</f>
        <v>0</v>
      </c>
      <c r="F177" s="28" t="n">
        <f aca="false">IF(F$165&gt;=$C$155,Inputs!$C$30*1000*Inputs!$C$16*8760/1000,0)</f>
        <v>0</v>
      </c>
      <c r="G177" s="28" t="n">
        <f aca="false">IF(G$165&gt;=$C$155,Inputs!$C$30*1000*Inputs!$C$16*8760/1000,0)</f>
        <v>112128</v>
      </c>
      <c r="H177" s="28" t="n">
        <f aca="false">IF(H$165&gt;=$C$155,Inputs!$C$30*1000*Inputs!$C$16*8760/1000,0)</f>
        <v>112128</v>
      </c>
      <c r="I177" s="28" t="n">
        <f aca="false">IF(I$165&gt;=$C$155,Inputs!$C$30*1000*Inputs!$C$16*8760/1000,0)</f>
        <v>112128</v>
      </c>
      <c r="J177" s="28" t="n">
        <f aca="false">IF(J$165&gt;=$C$155,Inputs!$C$30*1000*Inputs!$C$16*8760/1000,0)</f>
        <v>112128</v>
      </c>
      <c r="K177" s="28" t="n">
        <f aca="false">IF(K$165&gt;=$C$155,Inputs!$C$30*1000*Inputs!$C$16*8760/1000,0)</f>
        <v>112128</v>
      </c>
      <c r="L177" s="28" t="n">
        <f aca="false">IF(L$165&gt;=$C$155,Inputs!$C$30*1000*Inputs!$C$16*8760/1000,0)</f>
        <v>112128</v>
      </c>
      <c r="M177" s="28" t="n">
        <f aca="false">IF(M$165&gt;=$C$155,Inputs!$C$30*1000*Inputs!$C$16*8760/1000,0)</f>
        <v>112128</v>
      </c>
      <c r="N177" s="28" t="n">
        <f aca="false">IF(N$165&gt;=$C$155,Inputs!$C$30*1000*Inputs!$C$16*8760/1000,0)</f>
        <v>112128</v>
      </c>
      <c r="O177" s="28" t="n">
        <f aca="false">IF(O$165&gt;=$C$155,Inputs!$C$30*1000*Inputs!$C$16*8760/1000,0)</f>
        <v>112128</v>
      </c>
    </row>
    <row r="178" customFormat="false" ht="15" hidden="false" customHeight="false" outlineLevel="0" collapsed="false">
      <c r="B178" s="9" t="s">
        <v>154</v>
      </c>
      <c r="E178" s="24" t="n">
        <f aca="false">E177*Inputs!$C$37*Inputs!$C$27/1000000</f>
        <v>0</v>
      </c>
      <c r="F178" s="24" t="n">
        <f aca="false">F177*Inputs!$C$37*Inputs!$C$27/1000000</f>
        <v>0</v>
      </c>
      <c r="G178" s="24" t="n">
        <f aca="false">G177*Inputs!$C$37*Inputs!$C$27/1000000</f>
        <v>0.4036608</v>
      </c>
      <c r="H178" s="24" t="n">
        <f aca="false">H177*Inputs!$C$37*Inputs!$C$27/1000000</f>
        <v>0.4036608</v>
      </c>
      <c r="I178" s="24" t="n">
        <f aca="false">I177*Inputs!$C$37*Inputs!$C$27/1000000</f>
        <v>0.4036608</v>
      </c>
      <c r="J178" s="24" t="n">
        <f aca="false">J177*Inputs!$C$37*Inputs!$C$27/1000000</f>
        <v>0.4036608</v>
      </c>
      <c r="K178" s="24" t="n">
        <f aca="false">K177*Inputs!$C$37*Inputs!$C$27/1000000</f>
        <v>0.4036608</v>
      </c>
      <c r="L178" s="24" t="n">
        <f aca="false">L177*Inputs!$C$37*Inputs!$C$27/1000000</f>
        <v>0.4036608</v>
      </c>
      <c r="M178" s="24" t="n">
        <f aca="false">M177*Inputs!$C$37*Inputs!$C$27/1000000</f>
        <v>0.4036608</v>
      </c>
      <c r="N178" s="24" t="n">
        <f aca="false">N177*Inputs!$C$37*Inputs!$C$27/1000000</f>
        <v>0.4036608</v>
      </c>
      <c r="O178" s="24" t="n">
        <f aca="false">O177*Inputs!$C$37*Inputs!$C$27/1000000</f>
        <v>0.4036608</v>
      </c>
    </row>
    <row r="179" customFormat="false" ht="15" hidden="false" customHeight="false" outlineLevel="0" collapsed="false">
      <c r="B179" s="9" t="s">
        <v>155</v>
      </c>
      <c r="E179" s="24" t="n">
        <f aca="false">IF(E$165&gt;=$C$155,Inputs!$C$38*E168,0)</f>
        <v>0</v>
      </c>
      <c r="F179" s="24" t="n">
        <f aca="false">IF(F$165&gt;=$C$155,Inputs!$C$38*F168,0)</f>
        <v>0</v>
      </c>
      <c r="G179" s="24" t="n">
        <f aca="false">IF(G$165&gt;=$C$155,Inputs!$C$38*G168,0)</f>
        <v>1.69744</v>
      </c>
      <c r="H179" s="24" t="n">
        <f aca="false">IF(H$165&gt;=$C$155,Inputs!$C$38*H168,0)</f>
        <v>1.7483632</v>
      </c>
      <c r="I179" s="24" t="n">
        <f aca="false">IF(I$165&gt;=$C$155,Inputs!$C$38*I168,0)</f>
        <v>1.800814096</v>
      </c>
      <c r="J179" s="24" t="n">
        <f aca="false">IF(J$165&gt;=$C$155,Inputs!$C$38*J168,0)</f>
        <v>1.85483851888</v>
      </c>
      <c r="K179" s="24" t="n">
        <f aca="false">IF(K$165&gt;=$C$155,Inputs!$C$38*K168,0)</f>
        <v>1.9104836744464</v>
      </c>
      <c r="L179" s="24" t="n">
        <f aca="false">IF(L$165&gt;=$C$155,Inputs!$C$38*L168,0)</f>
        <v>1.96779818467979</v>
      </c>
      <c r="M179" s="24" t="n">
        <f aca="false">IF(M$165&gt;=$C$155,Inputs!$C$38*M168,0)</f>
        <v>2.02683213022019</v>
      </c>
      <c r="N179" s="24" t="n">
        <f aca="false">IF(N$165&gt;=$C$155,Inputs!$C$38*N168,0)</f>
        <v>2.08763709412679</v>
      </c>
      <c r="O179" s="24" t="n">
        <f aca="false">IF(O$165&gt;=$C$155,Inputs!$C$38*O168,0)</f>
        <v>2.1502662069506</v>
      </c>
    </row>
    <row r="180" customFormat="false" ht="15" hidden="false" customHeight="false" outlineLevel="0" collapsed="false">
      <c r="B180" s="9" t="s">
        <v>156</v>
      </c>
      <c r="E180" s="24" t="n">
        <f aca="false">Inputs!$C$12*(E173+E176)</f>
        <v>0.52992</v>
      </c>
      <c r="F180" s="24" t="n">
        <f aca="false">Inputs!$C$12*(F173+F176)</f>
        <v>0.5405184</v>
      </c>
      <c r="G180" s="24" t="n">
        <f aca="false">Inputs!$C$12*(G173+G176)</f>
        <v>0.843168768</v>
      </c>
      <c r="H180" s="24" t="n">
        <f aca="false">Inputs!$C$12*(H173+H176)</f>
        <v>0.86003214336</v>
      </c>
      <c r="I180" s="24" t="n">
        <f aca="false">Inputs!$C$12*(I173+I176)</f>
        <v>0.8772327862272</v>
      </c>
      <c r="J180" s="24" t="n">
        <f aca="false">Inputs!$C$12*(J173+J176)</f>
        <v>0.894777441951744</v>
      </c>
      <c r="K180" s="24" t="n">
        <f aca="false">Inputs!$C$12*(K173+K176)</f>
        <v>0.912672990790779</v>
      </c>
      <c r="L180" s="24" t="n">
        <f aca="false">Inputs!$C$12*(L173+L176)</f>
        <v>0.930926450606595</v>
      </c>
      <c r="M180" s="24" t="n">
        <f aca="false">Inputs!$C$12*(M173+M176)</f>
        <v>0.876499598538642</v>
      </c>
      <c r="N180" s="24" t="n">
        <f aca="false">Inputs!$C$12*(N173+N176)</f>
        <v>0.894029590509414</v>
      </c>
      <c r="O180" s="24" t="n">
        <f aca="false">Inputs!$C$12*(O173+O176)</f>
        <v>0.911910182319603</v>
      </c>
    </row>
    <row r="181" customFormat="false" ht="15" hidden="false" customHeight="false" outlineLevel="0" collapsed="false">
      <c r="B181" s="29" t="s">
        <v>157</v>
      </c>
      <c r="E181" s="30" t="n">
        <f aca="false">E173+E174+E176+E178-E175-E179-E180</f>
        <v>50.7840448</v>
      </c>
      <c r="F181" s="30" t="n">
        <f aca="false">F173+F174+F176+F178-F175-F179-F180</f>
        <v>52.141754944</v>
      </c>
      <c r="G181" s="30" t="n">
        <f aca="false">G173+G174+G176+G178-G175-G179-G180</f>
        <v>81.12377009088</v>
      </c>
      <c r="H181" s="30" t="n">
        <f aca="false">H173+H174+H176+H178-H175-H179-H180</f>
        <v>83.0607302246976</v>
      </c>
      <c r="I181" s="30" t="n">
        <f aca="false">I173+I174+I176+I178-I175-I179-I180</f>
        <v>74.7367799021916</v>
      </c>
      <c r="J181" s="30" t="n">
        <f aca="false">J173+J174+J176+J178-J175-J179-J180</f>
        <v>76.0120417924654</v>
      </c>
      <c r="K181" s="30" t="n">
        <f aca="false">K173+K174+K176+K178-K175-K179-K180</f>
        <v>77.3072031382396</v>
      </c>
      <c r="L181" s="30" t="n">
        <f aca="false">L173+L174+L176+L178-L175-L179-L180</f>
        <v>78.6225121609663</v>
      </c>
      <c r="M181" s="30" t="n">
        <f aca="false">M173+M174+M176+M178-M175-M179-M180</f>
        <v>72.7267252867136</v>
      </c>
      <c r="N181" s="30" t="n">
        <f aca="false">N173+N174+N176+N178-N175-N179-N180</f>
        <v>73.938448108489</v>
      </c>
      <c r="O181" s="30" t="n">
        <f aca="false">O173+O174+O176+O178-O175-O179-O180</f>
        <v>75.1681758955278</v>
      </c>
    </row>
    <row r="182" customFormat="false" ht="15" hidden="false" customHeight="false" outlineLevel="0" collapsed="false">
      <c r="B182" s="9" t="s">
        <v>158</v>
      </c>
      <c r="E182" s="24" t="n">
        <f aca="false">Inputs!$C$13*E168*IF(AND($C$153="stranded",E$165&gt;Inputs!$C$9),Inputs!$C$56,1)+IF(E$165&gt;=$C$155,Inputs!$C$39*E168,0)</f>
        <v>1.3</v>
      </c>
      <c r="F182" s="24" t="n">
        <f aca="false">Inputs!$C$13*F168*IF(AND($C$153="stranded",F$165&gt;Inputs!$C$9),Inputs!$C$56,1)+IF(F$165&gt;=$C$155,Inputs!$C$39*F168,0)</f>
        <v>1.339</v>
      </c>
      <c r="G182" s="24" t="n">
        <f aca="false">Inputs!$C$13*G168*IF(AND($C$153="stranded",G$165&gt;Inputs!$C$9),Inputs!$C$56,1)+IF(G$165&gt;=$C$155,Inputs!$C$39*G168,0)</f>
        <v>1.90962</v>
      </c>
      <c r="H182" s="24" t="n">
        <f aca="false">Inputs!$C$13*H168*IF(AND($C$153="stranded",H$165&gt;Inputs!$C$9),Inputs!$C$56,1)+IF(H$165&gt;=$C$155,Inputs!$C$39*H168,0)</f>
        <v>1.9669086</v>
      </c>
      <c r="I182" s="24" t="n">
        <f aca="false">Inputs!$C$13*I168*IF(AND($C$153="stranded",I$165&gt;Inputs!$C$9),Inputs!$C$56,1)+IF(I$165&gt;=$C$155,Inputs!$C$39*I168,0)</f>
        <v>2.025915858</v>
      </c>
      <c r="J182" s="24" t="n">
        <f aca="false">Inputs!$C$13*J168*IF(AND($C$153="stranded",J$165&gt;Inputs!$C$9),Inputs!$C$56,1)+IF(J$165&gt;=$C$155,Inputs!$C$39*J168,0)</f>
        <v>2.08669333374</v>
      </c>
      <c r="K182" s="24" t="n">
        <f aca="false">Inputs!$C$13*K168*IF(AND($C$153="stranded",K$165&gt;Inputs!$C$9),Inputs!$C$56,1)+IF(K$165&gt;=$C$155,Inputs!$C$39*K168,0)</f>
        <v>2.1492941337522</v>
      </c>
      <c r="L182" s="24" t="n">
        <f aca="false">Inputs!$C$13*L168*IF(AND($C$153="stranded",L$165&gt;Inputs!$C$9),Inputs!$C$56,1)+IF(L$165&gt;=$C$155,Inputs!$C$39*L168,0)</f>
        <v>2.21377295776477</v>
      </c>
      <c r="M182" s="24" t="n">
        <f aca="false">Inputs!$C$13*M168*IF(AND($C$153="stranded",M$165&gt;Inputs!$C$9),Inputs!$C$56,1)+IF(M$165&gt;=$C$155,Inputs!$C$39*M168,0)</f>
        <v>2.28018614649771</v>
      </c>
      <c r="N182" s="24" t="n">
        <f aca="false">Inputs!$C$13*N168*IF(AND($C$153="stranded",N$165&gt;Inputs!$C$9),Inputs!$C$56,1)+IF(N$165&gt;=$C$155,Inputs!$C$39*N168,0)</f>
        <v>2.34859173089264</v>
      </c>
      <c r="O182" s="24" t="n">
        <f aca="false">Inputs!$C$13*O168*IF(AND($C$153="stranded",O$165&gt;Inputs!$C$9),Inputs!$C$56,1)+IF(O$165&gt;=$C$155,Inputs!$C$39*O168,0)</f>
        <v>2.41904948281942</v>
      </c>
    </row>
    <row r="183" customFormat="false" ht="15" hidden="false" customHeight="false" outlineLevel="0" collapsed="false">
      <c r="B183" s="9" t="s">
        <v>159</v>
      </c>
      <c r="E183" s="24" t="n">
        <f aca="false">IF(OR(E$165=1,E$165=2),Inputs!$C$31*Inputs!$C$30/2,0)+IF(AND(E$165=2,$C$155&gt;Inputs!$C$33),Inputs!$C$31*Inputs!$C$30*Inputs!$C$36*($C$155-Inputs!$C$33),0)</f>
        <v>84</v>
      </c>
      <c r="F183" s="24" t="n">
        <f aca="false">IF(OR(F$165=1,F$165=2),Inputs!$C$31*Inputs!$C$30/2,0)+IF(AND(F$165=2,$C$155&gt;Inputs!$C$33),Inputs!$C$31*Inputs!$C$30*Inputs!$C$36*($C$155-Inputs!$C$33),0)</f>
        <v>84</v>
      </c>
      <c r="G183" s="24" t="n">
        <f aca="false">IF(OR(G$165=1,G$165=2),Inputs!$C$31*Inputs!$C$30/2,0)+IF(AND(G$165=2,$C$155&gt;Inputs!$C$33),Inputs!$C$31*Inputs!$C$30*Inputs!$C$36*($C$155-Inputs!$C$33),0)</f>
        <v>0</v>
      </c>
      <c r="H183" s="24" t="n">
        <f aca="false">IF(OR(H$165=1,H$165=2),Inputs!$C$31*Inputs!$C$30/2,0)+IF(AND(H$165=2,$C$155&gt;Inputs!$C$33),Inputs!$C$31*Inputs!$C$30*Inputs!$C$36*($C$155-Inputs!$C$33),0)</f>
        <v>0</v>
      </c>
      <c r="I183" s="24" t="n">
        <f aca="false">IF(OR(I$165=1,I$165=2),Inputs!$C$31*Inputs!$C$30/2,0)+IF(AND(I$165=2,$C$155&gt;Inputs!$C$33),Inputs!$C$31*Inputs!$C$30*Inputs!$C$36*($C$155-Inputs!$C$33),0)</f>
        <v>0</v>
      </c>
      <c r="J183" s="24" t="n">
        <f aca="false">IF(OR(J$165=1,J$165=2),Inputs!$C$31*Inputs!$C$30/2,0)+IF(AND(J$165=2,$C$155&gt;Inputs!$C$33),Inputs!$C$31*Inputs!$C$30*Inputs!$C$36*($C$155-Inputs!$C$33),0)</f>
        <v>0</v>
      </c>
      <c r="K183" s="24" t="n">
        <f aca="false">IF(OR(K$165=1,K$165=2),Inputs!$C$31*Inputs!$C$30/2,0)+IF(AND(K$165=2,$C$155&gt;Inputs!$C$33),Inputs!$C$31*Inputs!$C$30*Inputs!$C$36*($C$155-Inputs!$C$33),0)</f>
        <v>0</v>
      </c>
      <c r="L183" s="24" t="n">
        <f aca="false">IF(OR(L$165=1,L$165=2),Inputs!$C$31*Inputs!$C$30/2,0)+IF(AND(L$165=2,$C$155&gt;Inputs!$C$33),Inputs!$C$31*Inputs!$C$30*Inputs!$C$36*($C$155-Inputs!$C$33),0)</f>
        <v>0</v>
      </c>
      <c r="M183" s="24" t="n">
        <f aca="false">IF(OR(M$165=1,M$165=2),Inputs!$C$31*Inputs!$C$30/2,0)+IF(AND(M$165=2,$C$155&gt;Inputs!$C$33),Inputs!$C$31*Inputs!$C$30*Inputs!$C$36*($C$155-Inputs!$C$33),0)</f>
        <v>0</v>
      </c>
      <c r="N183" s="24" t="n">
        <f aca="false">IF(OR(N$165=1,N$165=2),Inputs!$C$31*Inputs!$C$30/2,0)+IF(AND(N$165=2,$C$155&gt;Inputs!$C$33),Inputs!$C$31*Inputs!$C$30*Inputs!$C$36*($C$155-Inputs!$C$33),0)</f>
        <v>0</v>
      </c>
      <c r="O183" s="24" t="n">
        <f aca="false">IF(OR(O$165=1,O$165=2),Inputs!$C$31*Inputs!$C$30/2,0)+IF(AND(O$165=2,$C$155&gt;Inputs!$C$33),Inputs!$C$31*Inputs!$C$30*Inputs!$C$36*($C$155-Inputs!$C$33),0)</f>
        <v>0</v>
      </c>
    </row>
    <row r="184" customFormat="false" ht="15" hidden="false" customHeight="false" outlineLevel="0" collapsed="false">
      <c r="B184" s="9" t="s">
        <v>160</v>
      </c>
      <c r="E184" s="24" t="n">
        <f aca="false">IF(E$165=Inputs!$C$9+1,Inputs!$C$6*IF($C$153="renew",Inputs!$C$44,IF($C$153="retrofit",Inputs!$C$45,IF($C$153="relet",Inputs!$C$55,0))),0)</f>
        <v>0</v>
      </c>
      <c r="F184" s="24" t="n">
        <f aca="false">IF(F$165=Inputs!$C$9+1,Inputs!$C$6*IF($C$153="renew",Inputs!$C$44,IF($C$153="retrofit",Inputs!$C$45,IF($C$153="relet",Inputs!$C$55,0))),0)</f>
        <v>0</v>
      </c>
      <c r="G184" s="24" t="n">
        <f aca="false">IF(G$165=Inputs!$C$9+1,Inputs!$C$6*IF($C$153="renew",Inputs!$C$44,IF($C$153="retrofit",Inputs!$C$45,IF($C$153="relet",Inputs!$C$55,0))),0)</f>
        <v>0</v>
      </c>
      <c r="H184" s="24" t="n">
        <f aca="false">IF(H$165=Inputs!$C$9+1,Inputs!$C$6*IF($C$153="renew",Inputs!$C$44,IF($C$153="retrofit",Inputs!$C$45,IF($C$153="relet",Inputs!$C$55,0))),0)</f>
        <v>0</v>
      </c>
      <c r="I184" s="24" t="n">
        <f aca="false">IF(I$165=Inputs!$C$9+1,Inputs!$C$6*IF($C$153="renew",Inputs!$C$44,IF($C$153="retrofit",Inputs!$C$45,IF($C$153="relet",Inputs!$C$55,0))),0)</f>
        <v>0</v>
      </c>
      <c r="J184" s="24" t="n">
        <f aca="false">IF(J$165=Inputs!$C$9+1,Inputs!$C$6*IF($C$153="renew",Inputs!$C$44,IF($C$153="retrofit",Inputs!$C$45,IF($C$153="relet",Inputs!$C$55,0))),0)</f>
        <v>0</v>
      </c>
      <c r="K184" s="24" t="n">
        <f aca="false">IF(K$165=Inputs!$C$9+1,Inputs!$C$6*IF($C$153="renew",Inputs!$C$44,IF($C$153="retrofit",Inputs!$C$45,IF($C$153="relet",Inputs!$C$55,0))),0)</f>
        <v>0</v>
      </c>
      <c r="L184" s="24" t="n">
        <f aca="false">IF(L$165=Inputs!$C$9+1,Inputs!$C$6*IF($C$153="renew",Inputs!$C$44,IF($C$153="retrofit",Inputs!$C$45,IF($C$153="relet",Inputs!$C$55,0))),0)</f>
        <v>0</v>
      </c>
      <c r="M184" s="24" t="n">
        <f aca="false">IF(M$165=Inputs!$C$9+1,Inputs!$C$6*IF($C$153="renew",Inputs!$C$44,IF($C$153="retrofit",Inputs!$C$45,IF($C$153="relet",Inputs!$C$55,0))),0)</f>
        <v>12.8</v>
      </c>
      <c r="N184" s="24" t="n">
        <f aca="false">IF(N$165=Inputs!$C$9+1,Inputs!$C$6*IF($C$153="renew",Inputs!$C$44,IF($C$153="retrofit",Inputs!$C$45,IF($C$153="relet",Inputs!$C$55,0))),0)</f>
        <v>0</v>
      </c>
      <c r="O184" s="24" t="n">
        <f aca="false">IF(O$165=Inputs!$C$9+1,Inputs!$C$6*IF($C$153="renew",Inputs!$C$44,IF($C$153="retrofit",Inputs!$C$45,IF($C$153="relet",Inputs!$C$55,0))),0)</f>
        <v>0</v>
      </c>
    </row>
    <row r="185" customFormat="false" ht="15" hidden="false" customHeight="false" outlineLevel="0" collapsed="false">
      <c r="B185" s="29" t="s">
        <v>161</v>
      </c>
      <c r="E185" s="30" t="n">
        <f aca="false">E181-E182-E183-E184</f>
        <v>-34.5159552</v>
      </c>
      <c r="F185" s="30" t="n">
        <f aca="false">F181-F182-F183-F184</f>
        <v>-33.197245056</v>
      </c>
      <c r="G185" s="30" t="n">
        <f aca="false">G181-G182-G183-G184</f>
        <v>79.21415009088</v>
      </c>
      <c r="H185" s="30" t="n">
        <f aca="false">H181-H182-H183-H184</f>
        <v>81.0938216246976</v>
      </c>
      <c r="I185" s="30" t="n">
        <f aca="false">I181-I182-I183-I184</f>
        <v>72.7108640441916</v>
      </c>
      <c r="J185" s="30" t="n">
        <f aca="false">J181-J182-J183-J184</f>
        <v>73.9253484587254</v>
      </c>
      <c r="K185" s="30" t="n">
        <f aca="false">K181-K182-K183-K184</f>
        <v>75.1579090044874</v>
      </c>
      <c r="L185" s="30" t="n">
        <f aca="false">L181-L182-L183-L184</f>
        <v>76.4087392032015</v>
      </c>
      <c r="M185" s="30" t="n">
        <f aca="false">M181-M182-M183-M184</f>
        <v>57.6465391402159</v>
      </c>
      <c r="N185" s="30" t="n">
        <f aca="false">N181-N182-N183-N184</f>
        <v>71.5898563775964</v>
      </c>
      <c r="O185" s="30" t="n">
        <f aca="false">O181-O182-O183-O184</f>
        <v>72.7491264127083</v>
      </c>
    </row>
    <row r="186" customFormat="false" ht="15" hidden="false" customHeight="false" outlineLevel="0" collapsed="false">
      <c r="B186" s="6" t="s">
        <v>162</v>
      </c>
    </row>
    <row r="188" customFormat="false" ht="15" hidden="false" customHeight="false" outlineLevel="0" collapsed="false">
      <c r="B188" s="9" t="s">
        <v>163</v>
      </c>
      <c r="C188" s="23" t="n">
        <f aca="false">IF($C$153="renew",Inputs!$C$67,IF($C$153="retrofit",Inputs!$C$68,IF($C$153="relet",Inputs!$C$69,Inputs!$C$70)))+$C$159</f>
        <v>0.0625</v>
      </c>
    </row>
    <row r="189" customFormat="false" ht="15" hidden="false" customHeight="false" outlineLevel="0" collapsed="false">
      <c r="B189" s="9" t="s">
        <v>164</v>
      </c>
      <c r="C189" s="24" t="n">
        <f aca="false">O176+O178-O179-Inputs!$C$12*O176</f>
        <v>32.1051648944678</v>
      </c>
    </row>
    <row r="190" customFormat="false" ht="15" hidden="false" customHeight="false" outlineLevel="0" collapsed="false">
      <c r="B190" s="9" t="s">
        <v>165</v>
      </c>
      <c r="C190" s="24" t="n">
        <f aca="false">O181-$C$189</f>
        <v>43.0630110010599</v>
      </c>
    </row>
    <row r="191" customFormat="false" ht="15" hidden="false" customHeight="false" outlineLevel="0" collapsed="false">
      <c r="B191" s="9" t="s">
        <v>166</v>
      </c>
      <c r="C191" s="24" t="n">
        <f aca="false">IF($C$153="stranded",Inputs!$C$57*Inputs!$C$6-Inputs!$C$58,0)</f>
        <v>0</v>
      </c>
    </row>
    <row r="192" customFormat="false" ht="15" hidden="false" customHeight="false" outlineLevel="0" collapsed="false">
      <c r="B192" s="9" t="s">
        <v>167</v>
      </c>
      <c r="C192" s="24" t="n">
        <f aca="false">($C$189+$C$190)/$C$188+$C$191</f>
        <v>1202.69081432844</v>
      </c>
    </row>
    <row r="193" customFormat="false" ht="15" hidden="false" customHeight="false" outlineLevel="0" collapsed="false">
      <c r="B193" s="29" t="s">
        <v>168</v>
      </c>
      <c r="C193" s="30" t="n">
        <f aca="false">$C$192*(1-Inputs!$C$66)</f>
        <v>1184.65045211352</v>
      </c>
    </row>
    <row r="194" customFormat="false" ht="15" hidden="false" customHeight="false" outlineLevel="0" collapsed="false">
      <c r="B194" s="9" t="s">
        <v>169</v>
      </c>
      <c r="C194" s="24" t="n">
        <f aca="false">$C$163*(1+Inputs!$C$65)</f>
        <v>918</v>
      </c>
    </row>
    <row r="196" customFormat="false" ht="15" hidden="false" customHeight="false" outlineLevel="0" collapsed="false">
      <c r="B196" s="25" t="s">
        <v>170</v>
      </c>
      <c r="C196" s="26"/>
      <c r="D196" s="26" t="n">
        <v>0</v>
      </c>
      <c r="E196" s="26" t="n">
        <v>1</v>
      </c>
      <c r="F196" s="26" t="n">
        <v>2</v>
      </c>
      <c r="G196" s="26" t="n">
        <v>3</v>
      </c>
      <c r="H196" s="26" t="n">
        <v>4</v>
      </c>
      <c r="I196" s="26" t="n">
        <v>5</v>
      </c>
      <c r="J196" s="26" t="n">
        <v>6</v>
      </c>
      <c r="K196" s="26" t="n">
        <v>7</v>
      </c>
      <c r="L196" s="26" t="n">
        <v>8</v>
      </c>
      <c r="M196" s="26" t="n">
        <v>9</v>
      </c>
      <c r="N196" s="26" t="n">
        <v>10</v>
      </c>
    </row>
    <row r="197" customFormat="false" ht="15" hidden="false" customHeight="false" outlineLevel="0" collapsed="false">
      <c r="B197" s="29" t="s">
        <v>171</v>
      </c>
      <c r="D197" s="30" t="n">
        <f aca="false">-$C$194</f>
        <v>-918</v>
      </c>
      <c r="E197" s="30" t="n">
        <f aca="false">E185</f>
        <v>-34.5159552</v>
      </c>
      <c r="F197" s="30" t="n">
        <f aca="false">F185</f>
        <v>-33.197245056</v>
      </c>
      <c r="G197" s="30" t="n">
        <f aca="false">G185</f>
        <v>79.21415009088</v>
      </c>
      <c r="H197" s="30" t="n">
        <f aca="false">H185</f>
        <v>81.0938216246976</v>
      </c>
      <c r="I197" s="30" t="n">
        <f aca="false">I185</f>
        <v>72.7108640441916</v>
      </c>
      <c r="J197" s="30" t="n">
        <f aca="false">J185</f>
        <v>73.9253484587254</v>
      </c>
      <c r="K197" s="30" t="n">
        <f aca="false">K185</f>
        <v>75.1579090044874</v>
      </c>
      <c r="L197" s="30" t="n">
        <f aca="false">L185</f>
        <v>76.4087392032015</v>
      </c>
      <c r="M197" s="30" t="n">
        <f aca="false">M185</f>
        <v>57.6465391402159</v>
      </c>
      <c r="N197" s="30" t="n">
        <f aca="false">N185+$C$193</f>
        <v>1256.24030849111</v>
      </c>
    </row>
    <row r="198" customFormat="false" ht="15" hidden="false" customHeight="false" outlineLevel="0" collapsed="false">
      <c r="B198" s="29" t="s">
        <v>172</v>
      </c>
      <c r="C198" s="31" t="n">
        <f aca="false">IRR(D197:N197,0.08)</f>
        <v>0.0712534851336436</v>
      </c>
    </row>
    <row r="201" customFormat="false" ht="15" hidden="false" customHeight="false" outlineLevel="0" collapsed="false">
      <c r="B201" s="7" t="s">
        <v>228</v>
      </c>
      <c r="C201" s="8"/>
      <c r="D201" s="8"/>
      <c r="E201" s="8"/>
      <c r="F201" s="8"/>
      <c r="G201" s="8"/>
      <c r="H201" s="8"/>
      <c r="I201" s="8"/>
      <c r="J201" s="8"/>
      <c r="K201" s="8"/>
      <c r="L201" s="8"/>
      <c r="M201" s="8"/>
      <c r="N201" s="8"/>
      <c r="O201" s="8"/>
    </row>
    <row r="202" customFormat="false" ht="15" hidden="false" customHeight="false" outlineLevel="0" collapsed="false">
      <c r="B202" s="9" t="s">
        <v>130</v>
      </c>
      <c r="C202" s="18" t="str">
        <f aca="false">Inputs!$C$42</f>
        <v>renew</v>
      </c>
    </row>
    <row r="203" customFormat="false" ht="15" hidden="false" customHeight="false" outlineLevel="0" collapsed="false">
      <c r="B203" s="9" t="s">
        <v>131</v>
      </c>
      <c r="C203" s="19" t="n">
        <f aca="false">Inputs!$C$25</f>
        <v>0</v>
      </c>
    </row>
    <row r="204" customFormat="false" ht="15" hidden="false" customHeight="false" outlineLevel="0" collapsed="false">
      <c r="B204" s="9" t="s">
        <v>132</v>
      </c>
      <c r="C204" s="20" t="n">
        <f aca="false">Inputs!$C$93</f>
        <v>4</v>
      </c>
    </row>
    <row r="205" customFormat="false" ht="15" hidden="false" customHeight="false" outlineLevel="0" collapsed="false">
      <c r="B205" s="9" t="s">
        <v>133</v>
      </c>
      <c r="C205" s="13" t="n">
        <v>0</v>
      </c>
    </row>
    <row r="206" customFormat="false" ht="15" hidden="false" customHeight="false" outlineLevel="0" collapsed="false">
      <c r="B206" s="9" t="s">
        <v>134</v>
      </c>
      <c r="C206" s="21" t="n">
        <f aca="false">Inputs!$C$60</f>
        <v>0.45</v>
      </c>
    </row>
    <row r="207" customFormat="false" ht="15" hidden="false" customHeight="false" outlineLevel="0" collapsed="false">
      <c r="B207" s="9" t="s">
        <v>135</v>
      </c>
      <c r="C207" s="22" t="n">
        <f aca="false">Inputs!$C$61</f>
        <v>1.55</v>
      </c>
    </row>
    <row r="208" customFormat="false" ht="15" hidden="false" customHeight="false" outlineLevel="0" collapsed="false">
      <c r="B208" s="9" t="s">
        <v>136</v>
      </c>
      <c r="C208" s="23" t="n">
        <f aca="false">Inputs!$C$71</f>
        <v>0</v>
      </c>
    </row>
    <row r="209" customFormat="false" ht="15" hidden="false" customHeight="false" outlineLevel="0" collapsed="false">
      <c r="B209" s="9" t="s">
        <v>30</v>
      </c>
      <c r="C209" s="22" t="n">
        <f aca="false">Inputs!$C$18</f>
        <v>1.4</v>
      </c>
    </row>
    <row r="210" customFormat="false" ht="15" hidden="false" customHeight="false" outlineLevel="0" collapsed="false">
      <c r="B210" s="9" t="s">
        <v>137</v>
      </c>
      <c r="C210" s="19" t="n">
        <f aca="false">Inputs!$C$43</f>
        <v>0.9</v>
      </c>
    </row>
    <row r="211" customFormat="false" ht="15" hidden="false" customHeight="false" outlineLevel="0" collapsed="false">
      <c r="B211" s="9" t="s">
        <v>138</v>
      </c>
      <c r="C211" s="24" t="n">
        <f aca="false">Inputs!$C$49</f>
        <v>120</v>
      </c>
    </row>
    <row r="212" customFormat="false" ht="15" hidden="false" customHeight="false" outlineLevel="0" collapsed="false">
      <c r="B212" s="9" t="s">
        <v>139</v>
      </c>
      <c r="C212" s="24" t="n">
        <f aca="false">Inputs!$C$64</f>
        <v>900</v>
      </c>
    </row>
    <row r="213" customFormat="false" ht="15" hidden="false" customHeight="false" outlineLevel="0" collapsed="false">
      <c r="B213" s="9" t="s">
        <v>140</v>
      </c>
      <c r="C213" s="24" t="n">
        <f aca="false">Inputs!$C$6*1000*Inputs!$C$7*12*(1+Inputs!$C$8)^(Inputs!$C$9-1)/1000000</f>
        <v>60.8711509000706</v>
      </c>
    </row>
    <row r="214" customFormat="false" ht="15" hidden="false" customHeight="false" outlineLevel="0" collapsed="false">
      <c r="B214" s="25" t="s">
        <v>141</v>
      </c>
      <c r="C214" s="26"/>
      <c r="E214" s="26" t="n">
        <v>1</v>
      </c>
      <c r="F214" s="26" t="n">
        <v>2</v>
      </c>
      <c r="G214" s="26" t="n">
        <v>3</v>
      </c>
      <c r="H214" s="26" t="n">
        <v>4</v>
      </c>
      <c r="I214" s="26" t="n">
        <v>5</v>
      </c>
      <c r="J214" s="26" t="n">
        <v>6</v>
      </c>
      <c r="K214" s="26" t="n">
        <v>7</v>
      </c>
      <c r="L214" s="26" t="n">
        <v>8</v>
      </c>
      <c r="M214" s="26" t="n">
        <v>9</v>
      </c>
      <c r="N214" s="26" t="n">
        <v>10</v>
      </c>
      <c r="O214" s="26" t="n">
        <v>11</v>
      </c>
    </row>
    <row r="215" customFormat="false" ht="15" hidden="false" customHeight="false" outlineLevel="0" collapsed="false">
      <c r="B215" s="9" t="s">
        <v>142</v>
      </c>
      <c r="E215" s="24" t="n">
        <f aca="false">IF(E$214&lt;=Inputs!$C$22,Inputs!$C$21,Inputs!$C$23*(1+Inputs!$C$24)^(E$214-5)*IF(AND($C$203&lt;&gt;0,E$214&gt;=Inputs!$C$26),1+$C$203,1))</f>
        <v>61</v>
      </c>
      <c r="F215" s="24" t="n">
        <f aca="false">IF(F$214&lt;=Inputs!$C$22,Inputs!$C$21,Inputs!$C$23*(1+Inputs!$C$24)^(F$214-5)*IF(AND($C$203&lt;&gt;0,F$214&gt;=Inputs!$C$26),1+$C$203,1))</f>
        <v>61</v>
      </c>
      <c r="G215" s="24" t="n">
        <f aca="false">IF(G$214&lt;=Inputs!$C$22,Inputs!$C$21,Inputs!$C$23*(1+Inputs!$C$24)^(G$214-5)*IF(AND($C$203&lt;&gt;0,G$214&gt;=Inputs!$C$26),1+$C$203,1))</f>
        <v>61</v>
      </c>
      <c r="H215" s="24" t="n">
        <f aca="false">IF(H$214&lt;=Inputs!$C$22,Inputs!$C$21,Inputs!$C$23*(1+Inputs!$C$24)^(H$214-5)*IF(AND($C$203&lt;&gt;0,H$214&gt;=Inputs!$C$26),1+$C$203,1))</f>
        <v>61</v>
      </c>
      <c r="I215" s="24" t="n">
        <f aca="false">IF(I$214&lt;=Inputs!$C$22,Inputs!$C$21,Inputs!$C$23*(1+Inputs!$C$24)^(I$214-5)*IF(AND($C$203&lt;&gt;0,I$214&gt;=Inputs!$C$26),1+$C$203,1))</f>
        <v>67</v>
      </c>
      <c r="J215" s="24" t="n">
        <f aca="false">IF(J$214&lt;=Inputs!$C$22,Inputs!$C$21,Inputs!$C$23*(1+Inputs!$C$24)^(J$214-5)*IF(AND($C$203&lt;&gt;0,J$214&gt;=Inputs!$C$26),1+$C$203,1))</f>
        <v>68.675</v>
      </c>
      <c r="K215" s="24" t="n">
        <f aca="false">IF(K$214&lt;=Inputs!$C$22,Inputs!$C$21,Inputs!$C$23*(1+Inputs!$C$24)^(K$214-5)*IF(AND($C$203&lt;&gt;0,K$214&gt;=Inputs!$C$26),1+$C$203,1))</f>
        <v>70.391875</v>
      </c>
      <c r="L215" s="24" t="n">
        <f aca="false">IF(L$214&lt;=Inputs!$C$22,Inputs!$C$21,Inputs!$C$23*(1+Inputs!$C$24)^(L$214-5)*IF(AND($C$203&lt;&gt;0,L$214&gt;=Inputs!$C$26),1+$C$203,1))</f>
        <v>72.151671875</v>
      </c>
      <c r="M215" s="24" t="n">
        <f aca="false">IF(M$214&lt;=Inputs!$C$22,Inputs!$C$21,Inputs!$C$23*(1+Inputs!$C$24)^(M$214-5)*IF(AND($C$203&lt;&gt;0,M$214&gt;=Inputs!$C$26),1+$C$203,1))</f>
        <v>73.955463671875</v>
      </c>
      <c r="N215" s="24" t="n">
        <f aca="false">IF(N$214&lt;=Inputs!$C$22,Inputs!$C$21,Inputs!$C$23*(1+Inputs!$C$24)^(N$214-5)*IF(AND($C$203&lt;&gt;0,N$214&gt;=Inputs!$C$26),1+$C$203,1))</f>
        <v>75.8043502636718</v>
      </c>
      <c r="O215" s="24" t="n">
        <f aca="false">IF(O$214&lt;=Inputs!$C$22,Inputs!$C$21,Inputs!$C$23*(1+Inputs!$C$24)^(O$214-5)*IF(AND($C$203&lt;&gt;0,O$214&gt;=Inputs!$C$26),1+$C$203,1))</f>
        <v>77.6994590202636</v>
      </c>
    </row>
    <row r="216" customFormat="false" ht="15" hidden="false" customHeight="false" outlineLevel="0" collapsed="false">
      <c r="B216" s="9" t="s">
        <v>143</v>
      </c>
      <c r="E216" s="24" t="n">
        <f aca="false">Inputs!$C$19*(1+Inputs!$C$20)^(E$214-1)</f>
        <v>74</v>
      </c>
      <c r="F216" s="24" t="n">
        <f aca="false">Inputs!$C$19*(1+Inputs!$C$20)^(F$214-1)</f>
        <v>75.48</v>
      </c>
      <c r="G216" s="24" t="n">
        <f aca="false">Inputs!$C$19*(1+Inputs!$C$20)^(G$214-1)</f>
        <v>76.9896</v>
      </c>
      <c r="H216" s="24" t="n">
        <f aca="false">Inputs!$C$19*(1+Inputs!$C$20)^(H$214-1)</f>
        <v>78.529392</v>
      </c>
      <c r="I216" s="24" t="n">
        <f aca="false">Inputs!$C$19*(1+Inputs!$C$20)^(I$214-1)</f>
        <v>80.09997984</v>
      </c>
      <c r="J216" s="24" t="n">
        <f aca="false">Inputs!$C$19*(1+Inputs!$C$20)^(J$214-1)</f>
        <v>81.7019794368</v>
      </c>
      <c r="K216" s="24" t="n">
        <f aca="false">Inputs!$C$19*(1+Inputs!$C$20)^(K$214-1)</f>
        <v>83.336019025536</v>
      </c>
      <c r="L216" s="24" t="n">
        <f aca="false">Inputs!$C$19*(1+Inputs!$C$20)^(L$214-1)</f>
        <v>85.0027394060467</v>
      </c>
      <c r="M216" s="24" t="n">
        <f aca="false">Inputs!$C$19*(1+Inputs!$C$20)^(M$214-1)</f>
        <v>86.7027941941677</v>
      </c>
      <c r="N216" s="24" t="n">
        <f aca="false">Inputs!$C$19*(1+Inputs!$C$20)^(N$214-1)</f>
        <v>88.436850078051</v>
      </c>
      <c r="O216" s="24" t="n">
        <f aca="false">Inputs!$C$19*(1+Inputs!$C$20)^(O$214-1)</f>
        <v>90.205587079612</v>
      </c>
    </row>
    <row r="217" customFormat="false" ht="15" hidden="false" customHeight="false" outlineLevel="0" collapsed="false">
      <c r="B217" s="9" t="s">
        <v>144</v>
      </c>
      <c r="E217" s="27" t="n">
        <f aca="false">(1+Inputs!$C$11)^(E$214-1)</f>
        <v>1</v>
      </c>
      <c r="F217" s="27" t="n">
        <f aca="false">(1+Inputs!$C$11)^(F$214-1)</f>
        <v>1.03</v>
      </c>
      <c r="G217" s="27" t="n">
        <f aca="false">(1+Inputs!$C$11)^(G$214-1)</f>
        <v>1.0609</v>
      </c>
      <c r="H217" s="27" t="n">
        <f aca="false">(1+Inputs!$C$11)^(H$214-1)</f>
        <v>1.092727</v>
      </c>
      <c r="I217" s="27" t="n">
        <f aca="false">(1+Inputs!$C$11)^(I$214-1)</f>
        <v>1.12550881</v>
      </c>
      <c r="J217" s="27" t="n">
        <f aca="false">(1+Inputs!$C$11)^(J$214-1)</f>
        <v>1.1592740743</v>
      </c>
      <c r="K217" s="27" t="n">
        <f aca="false">(1+Inputs!$C$11)^(K$214-1)</f>
        <v>1.194052296529</v>
      </c>
      <c r="L217" s="27" t="n">
        <f aca="false">(1+Inputs!$C$11)^(L$214-1)</f>
        <v>1.22987386542487</v>
      </c>
      <c r="M217" s="27" t="n">
        <f aca="false">(1+Inputs!$C$11)^(M$214-1)</f>
        <v>1.26677008138762</v>
      </c>
      <c r="N217" s="27" t="n">
        <f aca="false">(1+Inputs!$C$11)^(N$214-1)</f>
        <v>1.30477318382925</v>
      </c>
      <c r="O217" s="27" t="n">
        <f aca="false">(1+Inputs!$C$11)^(O$214-1)</f>
        <v>1.34391637934412</v>
      </c>
    </row>
    <row r="218" customFormat="false" ht="15" hidden="false" customHeight="false" outlineLevel="0" collapsed="false">
      <c r="B218" s="9" t="s">
        <v>145</v>
      </c>
      <c r="E218" s="19" t="n">
        <f aca="false">IF(OR(E$214&lt;=Inputs!$C$9,$C$202="renew"),IF(AND($C$205&gt;0,E$214&gt;=$C$205),$C$206,Inputs!$C$16),IF($C$202="stranded",0,Inputs!$C$16))</f>
        <v>0.8</v>
      </c>
      <c r="F218" s="19" t="n">
        <f aca="false">IF(OR(F$214&lt;=Inputs!$C$9,$C$202="renew"),IF(AND($C$205&gt;0,F$214&gt;=$C$205),$C$206,Inputs!$C$16),IF($C$202="stranded",0,Inputs!$C$16))</f>
        <v>0.8</v>
      </c>
      <c r="G218" s="19" t="n">
        <f aca="false">IF(OR(G$214&lt;=Inputs!$C$9,$C$202="renew"),IF(AND($C$205&gt;0,G$214&gt;=$C$205),$C$206,Inputs!$C$16),IF($C$202="stranded",0,Inputs!$C$16))</f>
        <v>0.8</v>
      </c>
      <c r="H218" s="19" t="n">
        <f aca="false">IF(OR(H$214&lt;=Inputs!$C$9,$C$202="renew"),IF(AND($C$205&gt;0,H$214&gt;=$C$205),$C$206,Inputs!$C$16),IF($C$202="stranded",0,Inputs!$C$16))</f>
        <v>0.8</v>
      </c>
      <c r="I218" s="19" t="n">
        <f aca="false">IF(OR(I$214&lt;=Inputs!$C$9,$C$202="renew"),IF(AND($C$205&gt;0,I$214&gt;=$C$205),$C$206,Inputs!$C$16),IF($C$202="stranded",0,Inputs!$C$16))</f>
        <v>0.8</v>
      </c>
      <c r="J218" s="19" t="n">
        <f aca="false">IF(OR(J$214&lt;=Inputs!$C$9,$C$202="renew"),IF(AND($C$205&gt;0,J$214&gt;=$C$205),$C$206,Inputs!$C$16),IF($C$202="stranded",0,Inputs!$C$16))</f>
        <v>0.8</v>
      </c>
      <c r="K218" s="19" t="n">
        <f aca="false">IF(OR(K$214&lt;=Inputs!$C$9,$C$202="renew"),IF(AND($C$205&gt;0,K$214&gt;=$C$205),$C$206,Inputs!$C$16),IF($C$202="stranded",0,Inputs!$C$16))</f>
        <v>0.8</v>
      </c>
      <c r="L218" s="19" t="n">
        <f aca="false">IF(OR(L$214&lt;=Inputs!$C$9,$C$202="renew"),IF(AND($C$205&gt;0,L$214&gt;=$C$205),$C$206,Inputs!$C$16),IF($C$202="stranded",0,Inputs!$C$16))</f>
        <v>0.8</v>
      </c>
      <c r="M218" s="19" t="n">
        <f aca="false">IF(OR(M$214&lt;=Inputs!$C$9,$C$202="renew"),IF(AND($C$205&gt;0,M$214&gt;=$C$205),$C$206,Inputs!$C$16),IF($C$202="stranded",0,Inputs!$C$16))</f>
        <v>0.8</v>
      </c>
      <c r="N218" s="19" t="n">
        <f aca="false">IF(OR(N$214&lt;=Inputs!$C$9,$C$202="renew"),IF(AND($C$205&gt;0,N$214&gt;=$C$205),$C$206,Inputs!$C$16),IF($C$202="stranded",0,Inputs!$C$16))</f>
        <v>0.8</v>
      </c>
      <c r="O218" s="19" t="n">
        <f aca="false">IF(OR(O$214&lt;=Inputs!$C$9,$C$202="renew"),IF(AND($C$205&gt;0,O$214&gt;=$C$205),$C$206,Inputs!$C$16),IF($C$202="stranded",0,Inputs!$C$16))</f>
        <v>0.8</v>
      </c>
    </row>
    <row r="219" customFormat="false" ht="15" hidden="false" customHeight="false" outlineLevel="0" collapsed="false">
      <c r="B219" s="9" t="s">
        <v>146</v>
      </c>
      <c r="E219" s="22" t="n">
        <f aca="false">IF(OR(E$214&lt;=Inputs!$C$9,$C$202="renew"),IF(AND($C$205&gt;0,E$214&gt;=$C$205),$C$207,$C$209),IF($C$202="retrofit",Inputs!$C$47,IF($C$202="relet",Inputs!$C$53,0)))</f>
        <v>1.4</v>
      </c>
      <c r="F219" s="22" t="n">
        <f aca="false">IF(OR(F$214&lt;=Inputs!$C$9,$C$202="renew"),IF(AND($C$205&gt;0,F$214&gt;=$C$205),$C$207,$C$209),IF($C$202="retrofit",Inputs!$C$47,IF($C$202="relet",Inputs!$C$53,0)))</f>
        <v>1.4</v>
      </c>
      <c r="G219" s="22" t="n">
        <f aca="false">IF(OR(G$214&lt;=Inputs!$C$9,$C$202="renew"),IF(AND($C$205&gt;0,G$214&gt;=$C$205),$C$207,$C$209),IF($C$202="retrofit",Inputs!$C$47,IF($C$202="relet",Inputs!$C$53,0)))</f>
        <v>1.4</v>
      </c>
      <c r="H219" s="22" t="n">
        <f aca="false">IF(OR(H$214&lt;=Inputs!$C$9,$C$202="renew"),IF(AND($C$205&gt;0,H$214&gt;=$C$205),$C$207,$C$209),IF($C$202="retrofit",Inputs!$C$47,IF($C$202="relet",Inputs!$C$53,0)))</f>
        <v>1.4</v>
      </c>
      <c r="I219" s="22" t="n">
        <f aca="false">IF(OR(I$214&lt;=Inputs!$C$9,$C$202="renew"),IF(AND($C$205&gt;0,I$214&gt;=$C$205),$C$207,$C$209),IF($C$202="retrofit",Inputs!$C$47,IF($C$202="relet",Inputs!$C$53,0)))</f>
        <v>1.4</v>
      </c>
      <c r="J219" s="22" t="n">
        <f aca="false">IF(OR(J$214&lt;=Inputs!$C$9,$C$202="renew"),IF(AND($C$205&gt;0,J$214&gt;=$C$205),$C$207,$C$209),IF($C$202="retrofit",Inputs!$C$47,IF($C$202="relet",Inputs!$C$53,0)))</f>
        <v>1.4</v>
      </c>
      <c r="K219" s="22" t="n">
        <f aca="false">IF(OR(K$214&lt;=Inputs!$C$9,$C$202="renew"),IF(AND($C$205&gt;0,K$214&gt;=$C$205),$C$207,$C$209),IF($C$202="retrofit",Inputs!$C$47,IF($C$202="relet",Inputs!$C$53,0)))</f>
        <v>1.4</v>
      </c>
      <c r="L219" s="22" t="n">
        <f aca="false">IF(OR(L$214&lt;=Inputs!$C$9,$C$202="renew"),IF(AND($C$205&gt;0,L$214&gt;=$C$205),$C$207,$C$209),IF($C$202="retrofit",Inputs!$C$47,IF($C$202="relet",Inputs!$C$53,0)))</f>
        <v>1.4</v>
      </c>
      <c r="M219" s="22" t="n">
        <f aca="false">IF(OR(M$214&lt;=Inputs!$C$9,$C$202="renew"),IF(AND($C$205&gt;0,M$214&gt;=$C$205),$C$207,$C$209),IF($C$202="retrofit",Inputs!$C$47,IF($C$202="relet",Inputs!$C$53,0)))</f>
        <v>1.4</v>
      </c>
      <c r="N219" s="22" t="n">
        <f aca="false">IF(OR(N$214&lt;=Inputs!$C$9,$C$202="renew"),IF(AND($C$205&gt;0,N$214&gt;=$C$205),$C$207,$C$209),IF($C$202="retrofit",Inputs!$C$47,IF($C$202="relet",Inputs!$C$53,0)))</f>
        <v>1.4</v>
      </c>
      <c r="O219" s="22" t="n">
        <f aca="false">IF(OR(O$214&lt;=Inputs!$C$9,$C$202="renew"),IF(AND($C$205&gt;0,O$214&gt;=$C$205),$C$207,$C$209),IF($C$202="retrofit",Inputs!$C$47,IF($C$202="relet",Inputs!$C$53,0)))</f>
        <v>1.4</v>
      </c>
    </row>
    <row r="220" customFormat="false" ht="15" hidden="false" customHeight="false" outlineLevel="0" collapsed="false">
      <c r="B220" s="9" t="s">
        <v>147</v>
      </c>
      <c r="E220" s="21" t="n">
        <f aca="false">IF(OR(E$214&lt;=Inputs!$C$9,$C$202="renew"),1,IF($C$202="retrofit",IF(E$214-Inputs!$C$9=1,0,1),IF($C$202="relet",CHOOSE(MIN(E$214-Inputs!$C$9,3),Inputs!$C$50,Inputs!$C$51,Inputs!$C$52),0)))</f>
        <v>1</v>
      </c>
      <c r="F220" s="21" t="n">
        <f aca="false">IF(OR(F$214&lt;=Inputs!$C$9,$C$202="renew"),1,IF($C$202="retrofit",IF(F$214-Inputs!$C$9=1,0,1),IF($C$202="relet",CHOOSE(MIN(F$214-Inputs!$C$9,3),Inputs!$C$50,Inputs!$C$51,Inputs!$C$52),0)))</f>
        <v>1</v>
      </c>
      <c r="G220" s="21" t="n">
        <f aca="false">IF(OR(G$214&lt;=Inputs!$C$9,$C$202="renew"),1,IF($C$202="retrofit",IF(G$214-Inputs!$C$9=1,0,1),IF($C$202="relet",CHOOSE(MIN(G$214-Inputs!$C$9,3),Inputs!$C$50,Inputs!$C$51,Inputs!$C$52),0)))</f>
        <v>1</v>
      </c>
      <c r="H220" s="21" t="n">
        <f aca="false">IF(OR(H$214&lt;=Inputs!$C$9,$C$202="renew"),1,IF($C$202="retrofit",IF(H$214-Inputs!$C$9=1,0,1),IF($C$202="relet",CHOOSE(MIN(H$214-Inputs!$C$9,3),Inputs!$C$50,Inputs!$C$51,Inputs!$C$52),0)))</f>
        <v>1</v>
      </c>
      <c r="I220" s="21" t="n">
        <f aca="false">IF(OR(I$214&lt;=Inputs!$C$9,$C$202="renew"),1,IF($C$202="retrofit",IF(I$214-Inputs!$C$9=1,0,1),IF($C$202="relet",CHOOSE(MIN(I$214-Inputs!$C$9,3),Inputs!$C$50,Inputs!$C$51,Inputs!$C$52),0)))</f>
        <v>1</v>
      </c>
      <c r="J220" s="21" t="n">
        <f aca="false">IF(OR(J$214&lt;=Inputs!$C$9,$C$202="renew"),1,IF($C$202="retrofit",IF(J$214-Inputs!$C$9=1,0,1),IF($C$202="relet",CHOOSE(MIN(J$214-Inputs!$C$9,3),Inputs!$C$50,Inputs!$C$51,Inputs!$C$52),0)))</f>
        <v>1</v>
      </c>
      <c r="K220" s="21" t="n">
        <f aca="false">IF(OR(K$214&lt;=Inputs!$C$9,$C$202="renew"),1,IF($C$202="retrofit",IF(K$214-Inputs!$C$9=1,0,1),IF($C$202="relet",CHOOSE(MIN(K$214-Inputs!$C$9,3),Inputs!$C$50,Inputs!$C$51,Inputs!$C$52),0)))</f>
        <v>1</v>
      </c>
      <c r="L220" s="21" t="n">
        <f aca="false">IF(OR(L$214&lt;=Inputs!$C$9,$C$202="renew"),1,IF($C$202="retrofit",IF(L$214-Inputs!$C$9=1,0,1),IF($C$202="relet",CHOOSE(MIN(L$214-Inputs!$C$9,3),Inputs!$C$50,Inputs!$C$51,Inputs!$C$52),0)))</f>
        <v>1</v>
      </c>
      <c r="M220" s="21" t="n">
        <f aca="false">IF(OR(M$214&lt;=Inputs!$C$9,$C$202="renew"),1,IF($C$202="retrofit",IF(M$214-Inputs!$C$9=1,0,1),IF($C$202="relet",CHOOSE(MIN(M$214-Inputs!$C$9,3),Inputs!$C$50,Inputs!$C$51,Inputs!$C$52),0)))</f>
        <v>1</v>
      </c>
      <c r="N220" s="21" t="n">
        <f aca="false">IF(OR(N$214&lt;=Inputs!$C$9,$C$202="renew"),1,IF($C$202="retrofit",IF(N$214-Inputs!$C$9=1,0,1),IF($C$202="relet",CHOOSE(MIN(N$214-Inputs!$C$9,3),Inputs!$C$50,Inputs!$C$51,Inputs!$C$52),0)))</f>
        <v>1</v>
      </c>
      <c r="O220" s="21" t="n">
        <f aca="false">IF(OR(O$214&lt;=Inputs!$C$9,$C$202="renew"),1,IF($C$202="retrofit",IF(O$214-Inputs!$C$9=1,0,1),IF($C$202="relet",CHOOSE(MIN(O$214-Inputs!$C$9,3),Inputs!$C$50,Inputs!$C$51,Inputs!$C$52),0)))</f>
        <v>1</v>
      </c>
    </row>
    <row r="221" customFormat="false" ht="15" hidden="false" customHeight="false" outlineLevel="0" collapsed="false">
      <c r="B221" s="9" t="s">
        <v>148</v>
      </c>
      <c r="E221" s="28" t="n">
        <f aca="false">Inputs!$C$6*1000*E218*E220*8760/1000</f>
        <v>224256</v>
      </c>
      <c r="F221" s="28" t="n">
        <f aca="false">Inputs!$C$6*1000*F218*F220*8760/1000</f>
        <v>224256</v>
      </c>
      <c r="G221" s="28" t="n">
        <f aca="false">Inputs!$C$6*1000*G218*G220*8760/1000</f>
        <v>224256</v>
      </c>
      <c r="H221" s="28" t="n">
        <f aca="false">Inputs!$C$6*1000*H218*H220*8760/1000</f>
        <v>224256</v>
      </c>
      <c r="I221" s="28" t="n">
        <f aca="false">Inputs!$C$6*1000*I218*I220*8760/1000</f>
        <v>224256</v>
      </c>
      <c r="J221" s="28" t="n">
        <f aca="false">Inputs!$C$6*1000*J218*J220*8760/1000</f>
        <v>224256</v>
      </c>
      <c r="K221" s="28" t="n">
        <f aca="false">Inputs!$C$6*1000*K218*K220*8760/1000</f>
        <v>224256</v>
      </c>
      <c r="L221" s="28" t="n">
        <f aca="false">Inputs!$C$6*1000*L218*L220*8760/1000</f>
        <v>224256</v>
      </c>
      <c r="M221" s="28" t="n">
        <f aca="false">Inputs!$C$6*1000*M218*M220*8760/1000</f>
        <v>224256</v>
      </c>
      <c r="N221" s="28" t="n">
        <f aca="false">Inputs!$C$6*1000*N218*N220*8760/1000</f>
        <v>224256</v>
      </c>
      <c r="O221" s="28" t="n">
        <f aca="false">Inputs!$C$6*1000*O218*O220*8760/1000</f>
        <v>224256</v>
      </c>
    </row>
    <row r="222" customFormat="false" ht="15" hidden="false" customHeight="false" outlineLevel="0" collapsed="false">
      <c r="B222" s="9" t="s">
        <v>149</v>
      </c>
      <c r="E222" s="24" t="n">
        <f aca="false">IF(E$214&lt;=Inputs!$C$9,Inputs!$C$6*1000*Inputs!$C$7*12*(1+Inputs!$C$8)^(E$214-1)/1000000,IF($C$202="renew",$C$213*$C$210*(1+Inputs!$C$8)^(E$214-Inputs!$C$9-1),IF($C$202="retrofit",IF(E$214-Inputs!$C$9=1,0,Inputs!$C$6*1000*Inputs!$C$46*12*(1+Inputs!$C$8)^(E$214-Inputs!$C$9-2)/1000000),IF($C$202="relet",Inputs!$C$6*1000*E220*$C$211*12*(1+Inputs!$C$8)^(E$214-Inputs!$C$9-2)/1000000,0))))</f>
        <v>52.992</v>
      </c>
      <c r="F222" s="24" t="n">
        <f aca="false">IF(F$214&lt;=Inputs!$C$9,Inputs!$C$6*1000*Inputs!$C$7*12*(1+Inputs!$C$8)^(F$214-1)/1000000,IF($C$202="renew",$C$213*$C$210*(1+Inputs!$C$8)^(F$214-Inputs!$C$9-1),IF($C$202="retrofit",IF(F$214-Inputs!$C$9=1,0,Inputs!$C$6*1000*Inputs!$C$46*12*(1+Inputs!$C$8)^(F$214-Inputs!$C$9-2)/1000000),IF($C$202="relet",Inputs!$C$6*1000*F220*$C$211*12*(1+Inputs!$C$8)^(F$214-Inputs!$C$9-2)/1000000,0))))</f>
        <v>54.05184</v>
      </c>
      <c r="G222" s="24" t="n">
        <f aca="false">IF(G$214&lt;=Inputs!$C$9,Inputs!$C$6*1000*Inputs!$C$7*12*(1+Inputs!$C$8)^(G$214-1)/1000000,IF($C$202="renew",$C$213*$C$210*(1+Inputs!$C$8)^(G$214-Inputs!$C$9-1),IF($C$202="retrofit",IF(G$214-Inputs!$C$9=1,0,Inputs!$C$6*1000*Inputs!$C$46*12*(1+Inputs!$C$8)^(G$214-Inputs!$C$9-2)/1000000),IF($C$202="relet",Inputs!$C$6*1000*G220*$C$211*12*(1+Inputs!$C$8)^(G$214-Inputs!$C$9-2)/1000000,0))))</f>
        <v>55.1328768</v>
      </c>
      <c r="H222" s="24" t="n">
        <f aca="false">IF(H$214&lt;=Inputs!$C$9,Inputs!$C$6*1000*Inputs!$C$7*12*(1+Inputs!$C$8)^(H$214-1)/1000000,IF($C$202="renew",$C$213*$C$210*(1+Inputs!$C$8)^(H$214-Inputs!$C$9-1),IF($C$202="retrofit",IF(H$214-Inputs!$C$9=1,0,Inputs!$C$6*1000*Inputs!$C$46*12*(1+Inputs!$C$8)^(H$214-Inputs!$C$9-2)/1000000),IF($C$202="relet",Inputs!$C$6*1000*H220*$C$211*12*(1+Inputs!$C$8)^(H$214-Inputs!$C$9-2)/1000000,0))))</f>
        <v>56.235534336</v>
      </c>
      <c r="I222" s="24" t="n">
        <f aca="false">IF(I$214&lt;=Inputs!$C$9,Inputs!$C$6*1000*Inputs!$C$7*12*(1+Inputs!$C$8)^(I$214-1)/1000000,IF($C$202="renew",$C$213*$C$210*(1+Inputs!$C$8)^(I$214-Inputs!$C$9-1),IF($C$202="retrofit",IF(I$214-Inputs!$C$9=1,0,Inputs!$C$6*1000*Inputs!$C$46*12*(1+Inputs!$C$8)^(I$214-Inputs!$C$9-2)/1000000),IF($C$202="relet",Inputs!$C$6*1000*I220*$C$211*12*(1+Inputs!$C$8)^(I$214-Inputs!$C$9-2)/1000000,0))))</f>
        <v>57.36024502272</v>
      </c>
      <c r="J222" s="24" t="n">
        <f aca="false">IF(J$214&lt;=Inputs!$C$9,Inputs!$C$6*1000*Inputs!$C$7*12*(1+Inputs!$C$8)^(J$214-1)/1000000,IF($C$202="renew",$C$213*$C$210*(1+Inputs!$C$8)^(J$214-Inputs!$C$9-1),IF($C$202="retrofit",IF(J$214-Inputs!$C$9=1,0,Inputs!$C$6*1000*Inputs!$C$46*12*(1+Inputs!$C$8)^(J$214-Inputs!$C$9-2)/1000000),IF($C$202="relet",Inputs!$C$6*1000*J220*$C$211*12*(1+Inputs!$C$8)^(J$214-Inputs!$C$9-2)/1000000,0))))</f>
        <v>58.5074499231744</v>
      </c>
      <c r="K222" s="24" t="n">
        <f aca="false">IF(K$214&lt;=Inputs!$C$9,Inputs!$C$6*1000*Inputs!$C$7*12*(1+Inputs!$C$8)^(K$214-1)/1000000,IF($C$202="renew",$C$213*$C$210*(1+Inputs!$C$8)^(K$214-Inputs!$C$9-1),IF($C$202="retrofit",IF(K$214-Inputs!$C$9=1,0,Inputs!$C$6*1000*Inputs!$C$46*12*(1+Inputs!$C$8)^(K$214-Inputs!$C$9-2)/1000000),IF($C$202="relet",Inputs!$C$6*1000*K220*$C$211*12*(1+Inputs!$C$8)^(K$214-Inputs!$C$9-2)/1000000,0))))</f>
        <v>59.6775989216379</v>
      </c>
      <c r="L222" s="24" t="n">
        <f aca="false">IF(L$214&lt;=Inputs!$C$9,Inputs!$C$6*1000*Inputs!$C$7*12*(1+Inputs!$C$8)^(L$214-1)/1000000,IF($C$202="renew",$C$213*$C$210*(1+Inputs!$C$8)^(L$214-Inputs!$C$9-1),IF($C$202="retrofit",IF(L$214-Inputs!$C$9=1,0,Inputs!$C$6*1000*Inputs!$C$46*12*(1+Inputs!$C$8)^(L$214-Inputs!$C$9-2)/1000000),IF($C$202="relet",Inputs!$C$6*1000*L220*$C$211*12*(1+Inputs!$C$8)^(L$214-Inputs!$C$9-2)/1000000,0))))</f>
        <v>60.8711509000706</v>
      </c>
      <c r="M222" s="24" t="n">
        <f aca="false">IF(M$214&lt;=Inputs!$C$9,Inputs!$C$6*1000*Inputs!$C$7*12*(1+Inputs!$C$8)^(M$214-1)/1000000,IF($C$202="renew",$C$213*$C$210*(1+Inputs!$C$8)^(M$214-Inputs!$C$9-1),IF($C$202="retrofit",IF(M$214-Inputs!$C$9=1,0,Inputs!$C$6*1000*Inputs!$C$46*12*(1+Inputs!$C$8)^(M$214-Inputs!$C$9-2)/1000000),IF($C$202="relet",Inputs!$C$6*1000*M220*$C$211*12*(1+Inputs!$C$8)^(M$214-Inputs!$C$9-2)/1000000,0))))</f>
        <v>54.7840358100636</v>
      </c>
      <c r="N222" s="24" t="n">
        <f aca="false">IF(N$214&lt;=Inputs!$C$9,Inputs!$C$6*1000*Inputs!$C$7*12*(1+Inputs!$C$8)^(N$214-1)/1000000,IF($C$202="renew",$C$213*$C$210*(1+Inputs!$C$8)^(N$214-Inputs!$C$9-1),IF($C$202="retrofit",IF(N$214-Inputs!$C$9=1,0,Inputs!$C$6*1000*Inputs!$C$46*12*(1+Inputs!$C$8)^(N$214-Inputs!$C$9-2)/1000000),IF($C$202="relet",Inputs!$C$6*1000*N220*$C$211*12*(1+Inputs!$C$8)^(N$214-Inputs!$C$9-2)/1000000,0))))</f>
        <v>55.8797165262649</v>
      </c>
      <c r="O222" s="24" t="n">
        <f aca="false">IF(O$214&lt;=Inputs!$C$9,Inputs!$C$6*1000*Inputs!$C$7*12*(1+Inputs!$C$8)^(O$214-1)/1000000,IF($C$202="renew",$C$213*$C$210*(1+Inputs!$C$8)^(O$214-Inputs!$C$9-1),IF($C$202="retrofit",IF(O$214-Inputs!$C$9=1,0,Inputs!$C$6*1000*Inputs!$C$46*12*(1+Inputs!$C$8)^(O$214-Inputs!$C$9-2)/1000000),IF($C$202="relet",Inputs!$C$6*1000*O220*$C$211*12*(1+Inputs!$C$8)^(O$214-Inputs!$C$9-2)/1000000,0))))</f>
        <v>56.9973108567902</v>
      </c>
    </row>
    <row r="223" customFormat="false" ht="15" hidden="false" customHeight="false" outlineLevel="0" collapsed="false">
      <c r="B223" s="9" t="s">
        <v>150</v>
      </c>
      <c r="E223" s="24" t="n">
        <f aca="false">IF(OR(E$214&lt;=Inputs!$C$9,$C$202="renew"),E221*(Inputs!$C$17*E216-E219*E215)/1000000,E221*E219*Inputs!$C$27/1000000)</f>
        <v>2.4219648</v>
      </c>
      <c r="F223" s="24" t="n">
        <f aca="false">IF(OR(F$214&lt;=Inputs!$C$9,$C$202="renew"),F221*(Inputs!$C$17*F216-F219*F215)/1000000,F221*F219*Inputs!$C$27/1000000)</f>
        <v>2.853433344</v>
      </c>
      <c r="G223" s="24" t="n">
        <f aca="false">IF(OR(G$214&lt;=Inputs!$C$9,$C$202="renew"),G221*(Inputs!$C$17*G216-G219*G215)/1000000,G221*G219*Inputs!$C$27/1000000)</f>
        <v>3.29353125888</v>
      </c>
      <c r="H223" s="24" t="n">
        <f aca="false">IF(OR(H$214&lt;=Inputs!$C$9,$C$202="renew"),H221*(Inputs!$C$17*H216-H219*H215)/1000000,H221*H219*Inputs!$C$27/1000000)</f>
        <v>3.74243113205761</v>
      </c>
      <c r="I223" s="24" t="n">
        <f aca="false">IF(OR(I$214&lt;=Inputs!$C$9,$C$202="renew"),I221*(Inputs!$C$17*I216-I219*I215)/1000000,I221*I219*Inputs!$C$27/1000000)</f>
        <v>2.31655860269875</v>
      </c>
      <c r="J223" s="24" t="n">
        <f aca="false">IF(OR(J$214&lt;=Inputs!$C$9,$C$202="renew"),J221*(Inputs!$C$17*J216-J219*J215)/1000000,J221*J219*Inputs!$C$27/1000000)</f>
        <v>2.25771371075273</v>
      </c>
      <c r="K223" s="24" t="n">
        <f aca="false">IF(OR(K$214&lt;=Inputs!$C$9,$C$202="renew"),K221*(Inputs!$C$17*K216-K219*K215)/1000000,K221*K219*Inputs!$C$27/1000000)</f>
        <v>2.19506251936779</v>
      </c>
      <c r="L223" s="24" t="n">
        <f aca="false">IF(OR(L$214&lt;=Inputs!$C$9,$C$202="renew"),L221*(Inputs!$C$17*L216-L219*L215)/1000000,L221*L219*Inputs!$C$27/1000000)</f>
        <v>2.12846316751515</v>
      </c>
      <c r="M223" s="24" t="n">
        <f aca="false">IF(OR(M$214&lt;=Inputs!$C$9,$C$202="renew"),M221*(Inputs!$C$17*M216-M219*M215)/1000000,M221*M219*Inputs!$C$27/1000000)</f>
        <v>2.05776931356946</v>
      </c>
      <c r="N223" s="24" t="n">
        <f aca="false">IF(OR(N$214&lt;=Inputs!$C$9,$C$202="renew"),N221*(Inputs!$C$17*N216-N219*N215)/1000000,N221*N219*Inputs!$C$27/1000000)</f>
        <v>1.98283000461245</v>
      </c>
      <c r="O223" s="24" t="n">
        <f aca="false">IF(OR(O$214&lt;=Inputs!$C$9,$C$202="renew"),O221*(Inputs!$C$17*O216-O219*O215)/1000000,O221*O219*Inputs!$C$27/1000000)</f>
        <v>1.90348954209559</v>
      </c>
    </row>
    <row r="224" customFormat="false" ht="15" hidden="false" customHeight="false" outlineLevel="0" collapsed="false">
      <c r="B224" s="9" t="s">
        <v>151</v>
      </c>
      <c r="E224" s="24" t="n">
        <f aca="false">Inputs!$C$10*E217*IF(OR(E$214&lt;=Inputs!$C$9,$C$202="renew"),1,IF($C$202="retrofit",IF(E$214-Inputs!$C$9=1,Inputs!$C$48,1),IF($C$202="relet",Inputs!$C$54,Inputs!$C$56)))</f>
        <v>4.1</v>
      </c>
      <c r="F224" s="24" t="n">
        <f aca="false">Inputs!$C$10*F217*IF(OR(F$214&lt;=Inputs!$C$9,$C$202="renew"),1,IF($C$202="retrofit",IF(F$214-Inputs!$C$9=1,Inputs!$C$48,1),IF($C$202="relet",Inputs!$C$54,Inputs!$C$56)))</f>
        <v>4.223</v>
      </c>
      <c r="G224" s="24" t="n">
        <f aca="false">Inputs!$C$10*G217*IF(OR(G$214&lt;=Inputs!$C$9,$C$202="renew"),1,IF($C$202="retrofit",IF(G$214-Inputs!$C$9=1,Inputs!$C$48,1),IF($C$202="relet",Inputs!$C$54,Inputs!$C$56)))</f>
        <v>4.34969</v>
      </c>
      <c r="H224" s="24" t="n">
        <f aca="false">Inputs!$C$10*H217*IF(OR(H$214&lt;=Inputs!$C$9,$C$202="renew"),1,IF($C$202="retrofit",IF(H$214-Inputs!$C$9=1,Inputs!$C$48,1),IF($C$202="relet",Inputs!$C$54,Inputs!$C$56)))</f>
        <v>4.4801807</v>
      </c>
      <c r="I224" s="24" t="n">
        <f aca="false">Inputs!$C$10*I217*IF(OR(I$214&lt;=Inputs!$C$9,$C$202="renew"),1,IF($C$202="retrofit",IF(I$214-Inputs!$C$9=1,Inputs!$C$48,1),IF($C$202="relet",Inputs!$C$54,Inputs!$C$56)))</f>
        <v>4.614586121</v>
      </c>
      <c r="J224" s="24" t="n">
        <f aca="false">Inputs!$C$10*J217*IF(OR(J$214&lt;=Inputs!$C$9,$C$202="renew"),1,IF($C$202="retrofit",IF(J$214-Inputs!$C$9=1,Inputs!$C$48,1),IF($C$202="relet",Inputs!$C$54,Inputs!$C$56)))</f>
        <v>4.75302370463</v>
      </c>
      <c r="K224" s="24" t="n">
        <f aca="false">Inputs!$C$10*K217*IF(OR(K$214&lt;=Inputs!$C$9,$C$202="renew"),1,IF($C$202="retrofit",IF(K$214-Inputs!$C$9=1,Inputs!$C$48,1),IF($C$202="relet",Inputs!$C$54,Inputs!$C$56)))</f>
        <v>4.8956144157689</v>
      </c>
      <c r="L224" s="24" t="n">
        <f aca="false">Inputs!$C$10*L217*IF(OR(L$214&lt;=Inputs!$C$9,$C$202="renew"),1,IF($C$202="retrofit",IF(L$214-Inputs!$C$9=1,Inputs!$C$48,1),IF($C$202="relet",Inputs!$C$54,Inputs!$C$56)))</f>
        <v>5.04248284824197</v>
      </c>
      <c r="M224" s="24" t="n">
        <f aca="false">Inputs!$C$10*M217*IF(OR(M$214&lt;=Inputs!$C$9,$C$202="renew"),1,IF($C$202="retrofit",IF(M$214-Inputs!$C$9=1,Inputs!$C$48,1),IF($C$202="relet",Inputs!$C$54,Inputs!$C$56)))</f>
        <v>5.19375733368923</v>
      </c>
      <c r="N224" s="24" t="n">
        <f aca="false">Inputs!$C$10*N217*IF(OR(N$214&lt;=Inputs!$C$9,$C$202="renew"),1,IF($C$202="retrofit",IF(N$214-Inputs!$C$9=1,Inputs!$C$48,1),IF($C$202="relet",Inputs!$C$54,Inputs!$C$56)))</f>
        <v>5.3495700536999</v>
      </c>
      <c r="O224" s="24" t="n">
        <f aca="false">Inputs!$C$10*O217*IF(OR(O$214&lt;=Inputs!$C$9,$C$202="renew"),1,IF($C$202="retrofit",IF(O$214-Inputs!$C$9=1,Inputs!$C$48,1),IF($C$202="relet",Inputs!$C$54,Inputs!$C$56)))</f>
        <v>5.5100571553109</v>
      </c>
    </row>
    <row r="225" customFormat="false" ht="15" hidden="false" customHeight="false" outlineLevel="0" collapsed="false">
      <c r="B225" s="9" t="s">
        <v>152</v>
      </c>
      <c r="E225" s="24" t="n">
        <f aca="false">IF(E$214&gt;=$C$204,Inputs!$C$30*1000*Inputs!$C$34*12*(1+Inputs!$C$8)^(E$214-$C$204)/1000000*IF(AND(E$214=$C$204,$C$204&gt;Inputs!$C$33),1-MIN(12,Inputs!$C$35*($C$204-Inputs!$C$33)*12)/12,1),0)</f>
        <v>0</v>
      </c>
      <c r="F225" s="24" t="n">
        <f aca="false">IF(F$214&gt;=$C$204,Inputs!$C$30*1000*Inputs!$C$34*12*(1+Inputs!$C$8)^(F$214-$C$204)/1000000*IF(AND(F$214=$C$204,$C$204&gt;Inputs!$C$33),1-MIN(12,Inputs!$C$35*($C$204-Inputs!$C$33)*12)/12,1),0)</f>
        <v>0</v>
      </c>
      <c r="G225" s="24" t="n">
        <f aca="false">IF(G$214&gt;=$C$204,Inputs!$C$30*1000*Inputs!$C$34*12*(1+Inputs!$C$8)^(G$214-$C$204)/1000000*IF(AND(G$214=$C$204,$C$204&gt;Inputs!$C$33),1-MIN(12,Inputs!$C$35*($C$204-Inputs!$C$33)*12)/12,1),0)</f>
        <v>0</v>
      </c>
      <c r="H225" s="24" t="n">
        <f aca="false">IF(H$214&gt;=$C$204,Inputs!$C$30*1000*Inputs!$C$34*12*(1+Inputs!$C$8)^(H$214-$C$204)/1000000*IF(AND(H$214=$C$204,$C$204&gt;Inputs!$C$33),1-MIN(12,Inputs!$C$35*($C$204-Inputs!$C$33)*12)/12,1),0)</f>
        <v>14.592</v>
      </c>
      <c r="I225" s="24" t="n">
        <f aca="false">IF(I$214&gt;=$C$204,Inputs!$C$30*1000*Inputs!$C$34*12*(1+Inputs!$C$8)^(I$214-$C$204)/1000000*IF(AND(I$214=$C$204,$C$204&gt;Inputs!$C$33),1-MIN(12,Inputs!$C$35*($C$204-Inputs!$C$33)*12)/12,1),0)</f>
        <v>29.76768</v>
      </c>
      <c r="J225" s="24" t="n">
        <f aca="false">IF(J$214&gt;=$C$204,Inputs!$C$30*1000*Inputs!$C$34*12*(1+Inputs!$C$8)^(J$214-$C$204)/1000000*IF(AND(J$214=$C$204,$C$204&gt;Inputs!$C$33),1-MIN(12,Inputs!$C$35*($C$204-Inputs!$C$33)*12)/12,1),0)</f>
        <v>30.3630336</v>
      </c>
      <c r="K225" s="24" t="n">
        <f aca="false">IF(K$214&gt;=$C$204,Inputs!$C$30*1000*Inputs!$C$34*12*(1+Inputs!$C$8)^(K$214-$C$204)/1000000*IF(AND(K$214=$C$204,$C$204&gt;Inputs!$C$33),1-MIN(12,Inputs!$C$35*($C$204-Inputs!$C$33)*12)/12,1),0)</f>
        <v>30.970294272</v>
      </c>
      <c r="L225" s="24" t="n">
        <f aca="false">IF(L$214&gt;=$C$204,Inputs!$C$30*1000*Inputs!$C$34*12*(1+Inputs!$C$8)^(L$214-$C$204)/1000000*IF(AND(L$214=$C$204,$C$204&gt;Inputs!$C$33),1-MIN(12,Inputs!$C$35*($C$204-Inputs!$C$33)*12)/12,1),0)</f>
        <v>31.58970015744</v>
      </c>
      <c r="M225" s="24" t="n">
        <f aca="false">IF(M$214&gt;=$C$204,Inputs!$C$30*1000*Inputs!$C$34*12*(1+Inputs!$C$8)^(M$214-$C$204)/1000000*IF(AND(M$214=$C$204,$C$204&gt;Inputs!$C$33),1-MIN(12,Inputs!$C$35*($C$204-Inputs!$C$33)*12)/12,1),0)</f>
        <v>32.2214941605888</v>
      </c>
      <c r="N225" s="24" t="n">
        <f aca="false">IF(N$214&gt;=$C$204,Inputs!$C$30*1000*Inputs!$C$34*12*(1+Inputs!$C$8)^(N$214-$C$204)/1000000*IF(AND(N$214=$C$204,$C$204&gt;Inputs!$C$33),1-MIN(12,Inputs!$C$35*($C$204-Inputs!$C$33)*12)/12,1),0)</f>
        <v>32.8659240438006</v>
      </c>
      <c r="O225" s="24" t="n">
        <f aca="false">IF(O$214&gt;=$C$204,Inputs!$C$30*1000*Inputs!$C$34*12*(1+Inputs!$C$8)^(O$214-$C$204)/1000000*IF(AND(O$214=$C$204,$C$204&gt;Inputs!$C$33),1-MIN(12,Inputs!$C$35*($C$204-Inputs!$C$33)*12)/12,1),0)</f>
        <v>33.5232425246766</v>
      </c>
    </row>
    <row r="226" customFormat="false" ht="15" hidden="false" customHeight="false" outlineLevel="0" collapsed="false">
      <c r="B226" s="9" t="s">
        <v>153</v>
      </c>
      <c r="E226" s="28" t="n">
        <f aca="false">IF(E$214&gt;=$C$204,Inputs!$C$30*1000*Inputs!$C$16*8760/1000,0)</f>
        <v>0</v>
      </c>
      <c r="F226" s="28" t="n">
        <f aca="false">IF(F$214&gt;=$C$204,Inputs!$C$30*1000*Inputs!$C$16*8760/1000,0)</f>
        <v>0</v>
      </c>
      <c r="G226" s="28" t="n">
        <f aca="false">IF(G$214&gt;=$C$204,Inputs!$C$30*1000*Inputs!$C$16*8760/1000,0)</f>
        <v>0</v>
      </c>
      <c r="H226" s="28" t="n">
        <f aca="false">IF(H$214&gt;=$C$204,Inputs!$C$30*1000*Inputs!$C$16*8760/1000,0)</f>
        <v>112128</v>
      </c>
      <c r="I226" s="28" t="n">
        <f aca="false">IF(I$214&gt;=$C$204,Inputs!$C$30*1000*Inputs!$C$16*8760/1000,0)</f>
        <v>112128</v>
      </c>
      <c r="J226" s="28" t="n">
        <f aca="false">IF(J$214&gt;=$C$204,Inputs!$C$30*1000*Inputs!$C$16*8760/1000,0)</f>
        <v>112128</v>
      </c>
      <c r="K226" s="28" t="n">
        <f aca="false">IF(K$214&gt;=$C$204,Inputs!$C$30*1000*Inputs!$C$16*8760/1000,0)</f>
        <v>112128</v>
      </c>
      <c r="L226" s="28" t="n">
        <f aca="false">IF(L$214&gt;=$C$204,Inputs!$C$30*1000*Inputs!$C$16*8760/1000,0)</f>
        <v>112128</v>
      </c>
      <c r="M226" s="28" t="n">
        <f aca="false">IF(M$214&gt;=$C$204,Inputs!$C$30*1000*Inputs!$C$16*8760/1000,0)</f>
        <v>112128</v>
      </c>
      <c r="N226" s="28" t="n">
        <f aca="false">IF(N$214&gt;=$C$204,Inputs!$C$30*1000*Inputs!$C$16*8760/1000,0)</f>
        <v>112128</v>
      </c>
      <c r="O226" s="28" t="n">
        <f aca="false">IF(O$214&gt;=$C$204,Inputs!$C$30*1000*Inputs!$C$16*8760/1000,0)</f>
        <v>112128</v>
      </c>
    </row>
    <row r="227" customFormat="false" ht="15" hidden="false" customHeight="false" outlineLevel="0" collapsed="false">
      <c r="B227" s="9" t="s">
        <v>154</v>
      </c>
      <c r="E227" s="24" t="n">
        <f aca="false">E226*Inputs!$C$37*Inputs!$C$27/1000000</f>
        <v>0</v>
      </c>
      <c r="F227" s="24" t="n">
        <f aca="false">F226*Inputs!$C$37*Inputs!$C$27/1000000</f>
        <v>0</v>
      </c>
      <c r="G227" s="24" t="n">
        <f aca="false">G226*Inputs!$C$37*Inputs!$C$27/1000000</f>
        <v>0</v>
      </c>
      <c r="H227" s="24" t="n">
        <f aca="false">H226*Inputs!$C$37*Inputs!$C$27/1000000</f>
        <v>0.4036608</v>
      </c>
      <c r="I227" s="24" t="n">
        <f aca="false">I226*Inputs!$C$37*Inputs!$C$27/1000000</f>
        <v>0.4036608</v>
      </c>
      <c r="J227" s="24" t="n">
        <f aca="false">J226*Inputs!$C$37*Inputs!$C$27/1000000</f>
        <v>0.4036608</v>
      </c>
      <c r="K227" s="24" t="n">
        <f aca="false">K226*Inputs!$C$37*Inputs!$C$27/1000000</f>
        <v>0.4036608</v>
      </c>
      <c r="L227" s="24" t="n">
        <f aca="false">L226*Inputs!$C$37*Inputs!$C$27/1000000</f>
        <v>0.4036608</v>
      </c>
      <c r="M227" s="24" t="n">
        <f aca="false">M226*Inputs!$C$37*Inputs!$C$27/1000000</f>
        <v>0.4036608</v>
      </c>
      <c r="N227" s="24" t="n">
        <f aca="false">N226*Inputs!$C$37*Inputs!$C$27/1000000</f>
        <v>0.4036608</v>
      </c>
      <c r="O227" s="24" t="n">
        <f aca="false">O226*Inputs!$C$37*Inputs!$C$27/1000000</f>
        <v>0.4036608</v>
      </c>
    </row>
    <row r="228" customFormat="false" ht="15" hidden="false" customHeight="false" outlineLevel="0" collapsed="false">
      <c r="B228" s="9" t="s">
        <v>155</v>
      </c>
      <c r="E228" s="24" t="n">
        <f aca="false">IF(E$214&gt;=$C$204,Inputs!$C$38*E217,0)</f>
        <v>0</v>
      </c>
      <c r="F228" s="24" t="n">
        <f aca="false">IF(F$214&gt;=$C$204,Inputs!$C$38*F217,0)</f>
        <v>0</v>
      </c>
      <c r="G228" s="24" t="n">
        <f aca="false">IF(G$214&gt;=$C$204,Inputs!$C$38*G217,0)</f>
        <v>0</v>
      </c>
      <c r="H228" s="24" t="n">
        <f aca="false">IF(H$214&gt;=$C$204,Inputs!$C$38*H217,0)</f>
        <v>1.7483632</v>
      </c>
      <c r="I228" s="24" t="n">
        <f aca="false">IF(I$214&gt;=$C$204,Inputs!$C$38*I217,0)</f>
        <v>1.800814096</v>
      </c>
      <c r="J228" s="24" t="n">
        <f aca="false">IF(J$214&gt;=$C$204,Inputs!$C$38*J217,0)</f>
        <v>1.85483851888</v>
      </c>
      <c r="K228" s="24" t="n">
        <f aca="false">IF(K$214&gt;=$C$204,Inputs!$C$38*K217,0)</f>
        <v>1.9104836744464</v>
      </c>
      <c r="L228" s="24" t="n">
        <f aca="false">IF(L$214&gt;=$C$204,Inputs!$C$38*L217,0)</f>
        <v>1.96779818467979</v>
      </c>
      <c r="M228" s="24" t="n">
        <f aca="false">IF(M$214&gt;=$C$204,Inputs!$C$38*M217,0)</f>
        <v>2.02683213022019</v>
      </c>
      <c r="N228" s="24" t="n">
        <f aca="false">IF(N$214&gt;=$C$204,Inputs!$C$38*N217,0)</f>
        <v>2.08763709412679</v>
      </c>
      <c r="O228" s="24" t="n">
        <f aca="false">IF(O$214&gt;=$C$204,Inputs!$C$38*O217,0)</f>
        <v>2.1502662069506</v>
      </c>
    </row>
    <row r="229" customFormat="false" ht="15" hidden="false" customHeight="false" outlineLevel="0" collapsed="false">
      <c r="B229" s="9" t="s">
        <v>156</v>
      </c>
      <c r="E229" s="24" t="n">
        <f aca="false">Inputs!$C$12*(E222+E225)</f>
        <v>0.52992</v>
      </c>
      <c r="F229" s="24" t="n">
        <f aca="false">Inputs!$C$12*(F222+F225)</f>
        <v>0.5405184</v>
      </c>
      <c r="G229" s="24" t="n">
        <f aca="false">Inputs!$C$12*(G222+G225)</f>
        <v>0.551328768</v>
      </c>
      <c r="H229" s="24" t="n">
        <f aca="false">Inputs!$C$12*(H222+H225)</f>
        <v>0.70827534336</v>
      </c>
      <c r="I229" s="24" t="n">
        <f aca="false">Inputs!$C$12*(I222+I225)</f>
        <v>0.8712792502272</v>
      </c>
      <c r="J229" s="24" t="n">
        <f aca="false">Inputs!$C$12*(J222+J225)</f>
        <v>0.888704835231744</v>
      </c>
      <c r="K229" s="24" t="n">
        <f aca="false">Inputs!$C$12*(K222+K225)</f>
        <v>0.906478931936379</v>
      </c>
      <c r="L229" s="24" t="n">
        <f aca="false">Inputs!$C$12*(L222+L225)</f>
        <v>0.924608510575106</v>
      </c>
      <c r="M229" s="24" t="n">
        <f aca="false">Inputs!$C$12*(M222+M225)</f>
        <v>0.870055299706524</v>
      </c>
      <c r="N229" s="24" t="n">
        <f aca="false">Inputs!$C$12*(N222+N225)</f>
        <v>0.887456405700654</v>
      </c>
      <c r="O229" s="24" t="n">
        <f aca="false">Inputs!$C$12*(O222+O225)</f>
        <v>0.905205533814667</v>
      </c>
    </row>
    <row r="230" customFormat="false" ht="15" hidden="false" customHeight="false" outlineLevel="0" collapsed="false">
      <c r="B230" s="29" t="s">
        <v>157</v>
      </c>
      <c r="E230" s="30" t="n">
        <f aca="false">E222+E223+E225+E227-E224-E228-E229</f>
        <v>50.7840448</v>
      </c>
      <c r="F230" s="30" t="n">
        <f aca="false">F222+F223+F225+F227-F224-F228-F229</f>
        <v>52.141754944</v>
      </c>
      <c r="G230" s="30" t="n">
        <f aca="false">G222+G223+G225+G227-G224-G228-G229</f>
        <v>53.52538929088</v>
      </c>
      <c r="H230" s="30" t="n">
        <f aca="false">H222+H223+H225+H227-H224-H228-H229</f>
        <v>68.0368070246976</v>
      </c>
      <c r="I230" s="30" t="n">
        <f aca="false">I222+I223+I225+I227-I224-I228-I229</f>
        <v>82.5614649581916</v>
      </c>
      <c r="J230" s="30" t="n">
        <f aca="false">J222+J223+J225+J227-J224-J228-J229</f>
        <v>84.0352909751854</v>
      </c>
      <c r="K230" s="30" t="n">
        <f aca="false">K222+K223+K225+K227-K224-K228-K229</f>
        <v>85.534039490854</v>
      </c>
      <c r="L230" s="30" t="n">
        <f aca="false">L222+L223+L225+L227-L224-L228-L229</f>
        <v>87.0580854815289</v>
      </c>
      <c r="M230" s="30" t="n">
        <f aca="false">M222+M223+M225+M227-M224-M228-M229</f>
        <v>81.3763153206059</v>
      </c>
      <c r="N230" s="30" t="n">
        <f aca="false">N222+N223+N225+N227-N224-N228-N229</f>
        <v>82.8074678211505</v>
      </c>
      <c r="O230" s="30" t="n">
        <f aca="false">O222+O223+O225+O227-O224-O228-O229</f>
        <v>84.2621748274862</v>
      </c>
    </row>
    <row r="231" customFormat="false" ht="15" hidden="false" customHeight="false" outlineLevel="0" collapsed="false">
      <c r="B231" s="9" t="s">
        <v>158</v>
      </c>
      <c r="E231" s="24" t="n">
        <f aca="false">Inputs!$C$13*E217*IF(AND($C$202="stranded",E$214&gt;Inputs!$C$9),Inputs!$C$56,1)+IF(E$214&gt;=$C$204,Inputs!$C$39*E217,0)</f>
        <v>1.3</v>
      </c>
      <c r="F231" s="24" t="n">
        <f aca="false">Inputs!$C$13*F217*IF(AND($C$202="stranded",F$214&gt;Inputs!$C$9),Inputs!$C$56,1)+IF(F$214&gt;=$C$204,Inputs!$C$39*F217,0)</f>
        <v>1.339</v>
      </c>
      <c r="G231" s="24" t="n">
        <f aca="false">Inputs!$C$13*G217*IF(AND($C$202="stranded",G$214&gt;Inputs!$C$9),Inputs!$C$56,1)+IF(G$214&gt;=$C$204,Inputs!$C$39*G217,0)</f>
        <v>1.37917</v>
      </c>
      <c r="H231" s="24" t="n">
        <f aca="false">Inputs!$C$13*H217*IF(AND($C$202="stranded",H$214&gt;Inputs!$C$9),Inputs!$C$56,1)+IF(H$214&gt;=$C$204,Inputs!$C$39*H217,0)</f>
        <v>1.9669086</v>
      </c>
      <c r="I231" s="24" t="n">
        <f aca="false">Inputs!$C$13*I217*IF(AND($C$202="stranded",I$214&gt;Inputs!$C$9),Inputs!$C$56,1)+IF(I$214&gt;=$C$204,Inputs!$C$39*I217,0)</f>
        <v>2.025915858</v>
      </c>
      <c r="J231" s="24" t="n">
        <f aca="false">Inputs!$C$13*J217*IF(AND($C$202="stranded",J$214&gt;Inputs!$C$9),Inputs!$C$56,1)+IF(J$214&gt;=$C$204,Inputs!$C$39*J217,0)</f>
        <v>2.08669333374</v>
      </c>
      <c r="K231" s="24" t="n">
        <f aca="false">Inputs!$C$13*K217*IF(AND($C$202="stranded",K$214&gt;Inputs!$C$9),Inputs!$C$56,1)+IF(K$214&gt;=$C$204,Inputs!$C$39*K217,0)</f>
        <v>2.1492941337522</v>
      </c>
      <c r="L231" s="24" t="n">
        <f aca="false">Inputs!$C$13*L217*IF(AND($C$202="stranded",L$214&gt;Inputs!$C$9),Inputs!$C$56,1)+IF(L$214&gt;=$C$204,Inputs!$C$39*L217,0)</f>
        <v>2.21377295776477</v>
      </c>
      <c r="M231" s="24" t="n">
        <f aca="false">Inputs!$C$13*M217*IF(AND($C$202="stranded",M$214&gt;Inputs!$C$9),Inputs!$C$56,1)+IF(M$214&gt;=$C$204,Inputs!$C$39*M217,0)</f>
        <v>2.28018614649771</v>
      </c>
      <c r="N231" s="24" t="n">
        <f aca="false">Inputs!$C$13*N217*IF(AND($C$202="stranded",N$214&gt;Inputs!$C$9),Inputs!$C$56,1)+IF(N$214&gt;=$C$204,Inputs!$C$39*N217,0)</f>
        <v>2.34859173089264</v>
      </c>
      <c r="O231" s="24" t="n">
        <f aca="false">Inputs!$C$13*O217*IF(AND($C$202="stranded",O$214&gt;Inputs!$C$9),Inputs!$C$56,1)+IF(O$214&gt;=$C$204,Inputs!$C$39*O217,0)</f>
        <v>2.41904948281942</v>
      </c>
    </row>
    <row r="232" customFormat="false" ht="15" hidden="false" customHeight="false" outlineLevel="0" collapsed="false">
      <c r="B232" s="9" t="s">
        <v>159</v>
      </c>
      <c r="E232" s="24" t="n">
        <f aca="false">IF(OR(E$214=1,E$214=2),Inputs!$C$31*Inputs!$C$30/2,0)+IF(AND(E$214=2,$C$204&gt;Inputs!$C$33),Inputs!$C$31*Inputs!$C$30*Inputs!$C$36*($C$204-Inputs!$C$33),0)</f>
        <v>84</v>
      </c>
      <c r="F232" s="24" t="n">
        <f aca="false">IF(OR(F$214=1,F$214=2),Inputs!$C$31*Inputs!$C$30/2,0)+IF(AND(F$214=2,$C$204&gt;Inputs!$C$33),Inputs!$C$31*Inputs!$C$30*Inputs!$C$36*($C$204-Inputs!$C$33),0)</f>
        <v>90.72</v>
      </c>
      <c r="G232" s="24" t="n">
        <f aca="false">IF(OR(G$214=1,G$214=2),Inputs!$C$31*Inputs!$C$30/2,0)+IF(AND(G$214=2,$C$204&gt;Inputs!$C$33),Inputs!$C$31*Inputs!$C$30*Inputs!$C$36*($C$204-Inputs!$C$33),0)</f>
        <v>0</v>
      </c>
      <c r="H232" s="24" t="n">
        <f aca="false">IF(OR(H$214=1,H$214=2),Inputs!$C$31*Inputs!$C$30/2,0)+IF(AND(H$214=2,$C$204&gt;Inputs!$C$33),Inputs!$C$31*Inputs!$C$30*Inputs!$C$36*($C$204-Inputs!$C$33),0)</f>
        <v>0</v>
      </c>
      <c r="I232" s="24" t="n">
        <f aca="false">IF(OR(I$214=1,I$214=2),Inputs!$C$31*Inputs!$C$30/2,0)+IF(AND(I$214=2,$C$204&gt;Inputs!$C$33),Inputs!$C$31*Inputs!$C$30*Inputs!$C$36*($C$204-Inputs!$C$33),0)</f>
        <v>0</v>
      </c>
      <c r="J232" s="24" t="n">
        <f aca="false">IF(OR(J$214=1,J$214=2),Inputs!$C$31*Inputs!$C$30/2,0)+IF(AND(J$214=2,$C$204&gt;Inputs!$C$33),Inputs!$C$31*Inputs!$C$30*Inputs!$C$36*($C$204-Inputs!$C$33),0)</f>
        <v>0</v>
      </c>
      <c r="K232" s="24" t="n">
        <f aca="false">IF(OR(K$214=1,K$214=2),Inputs!$C$31*Inputs!$C$30/2,0)+IF(AND(K$214=2,$C$204&gt;Inputs!$C$33),Inputs!$C$31*Inputs!$C$30*Inputs!$C$36*($C$204-Inputs!$C$33),0)</f>
        <v>0</v>
      </c>
      <c r="L232" s="24" t="n">
        <f aca="false">IF(OR(L$214=1,L$214=2),Inputs!$C$31*Inputs!$C$30/2,0)+IF(AND(L$214=2,$C$204&gt;Inputs!$C$33),Inputs!$C$31*Inputs!$C$30*Inputs!$C$36*($C$204-Inputs!$C$33),0)</f>
        <v>0</v>
      </c>
      <c r="M232" s="24" t="n">
        <f aca="false">IF(OR(M$214=1,M$214=2),Inputs!$C$31*Inputs!$C$30/2,0)+IF(AND(M$214=2,$C$204&gt;Inputs!$C$33),Inputs!$C$31*Inputs!$C$30*Inputs!$C$36*($C$204-Inputs!$C$33),0)</f>
        <v>0</v>
      </c>
      <c r="N232" s="24" t="n">
        <f aca="false">IF(OR(N$214=1,N$214=2),Inputs!$C$31*Inputs!$C$30/2,0)+IF(AND(N$214=2,$C$204&gt;Inputs!$C$33),Inputs!$C$31*Inputs!$C$30*Inputs!$C$36*($C$204-Inputs!$C$33),0)</f>
        <v>0</v>
      </c>
      <c r="O232" s="24" t="n">
        <f aca="false">IF(OR(O$214=1,O$214=2),Inputs!$C$31*Inputs!$C$30/2,0)+IF(AND(O$214=2,$C$204&gt;Inputs!$C$33),Inputs!$C$31*Inputs!$C$30*Inputs!$C$36*($C$204-Inputs!$C$33),0)</f>
        <v>0</v>
      </c>
    </row>
    <row r="233" customFormat="false" ht="15" hidden="false" customHeight="false" outlineLevel="0" collapsed="false">
      <c r="B233" s="9" t="s">
        <v>160</v>
      </c>
      <c r="E233" s="24" t="n">
        <f aca="false">IF(E$214=Inputs!$C$9+1,Inputs!$C$6*IF($C$202="renew",Inputs!$C$44,IF($C$202="retrofit",Inputs!$C$45,IF($C$202="relet",Inputs!$C$55,0))),0)</f>
        <v>0</v>
      </c>
      <c r="F233" s="24" t="n">
        <f aca="false">IF(F$214=Inputs!$C$9+1,Inputs!$C$6*IF($C$202="renew",Inputs!$C$44,IF($C$202="retrofit",Inputs!$C$45,IF($C$202="relet",Inputs!$C$55,0))),0)</f>
        <v>0</v>
      </c>
      <c r="G233" s="24" t="n">
        <f aca="false">IF(G$214=Inputs!$C$9+1,Inputs!$C$6*IF($C$202="renew",Inputs!$C$44,IF($C$202="retrofit",Inputs!$C$45,IF($C$202="relet",Inputs!$C$55,0))),0)</f>
        <v>0</v>
      </c>
      <c r="H233" s="24" t="n">
        <f aca="false">IF(H$214=Inputs!$C$9+1,Inputs!$C$6*IF($C$202="renew",Inputs!$C$44,IF($C$202="retrofit",Inputs!$C$45,IF($C$202="relet",Inputs!$C$55,0))),0)</f>
        <v>0</v>
      </c>
      <c r="I233" s="24" t="n">
        <f aca="false">IF(I$214=Inputs!$C$9+1,Inputs!$C$6*IF($C$202="renew",Inputs!$C$44,IF($C$202="retrofit",Inputs!$C$45,IF($C$202="relet",Inputs!$C$55,0))),0)</f>
        <v>0</v>
      </c>
      <c r="J233" s="24" t="n">
        <f aca="false">IF(J$214=Inputs!$C$9+1,Inputs!$C$6*IF($C$202="renew",Inputs!$C$44,IF($C$202="retrofit",Inputs!$C$45,IF($C$202="relet",Inputs!$C$55,0))),0)</f>
        <v>0</v>
      </c>
      <c r="K233" s="24" t="n">
        <f aca="false">IF(K$214=Inputs!$C$9+1,Inputs!$C$6*IF($C$202="renew",Inputs!$C$44,IF($C$202="retrofit",Inputs!$C$45,IF($C$202="relet",Inputs!$C$55,0))),0)</f>
        <v>0</v>
      </c>
      <c r="L233" s="24" t="n">
        <f aca="false">IF(L$214=Inputs!$C$9+1,Inputs!$C$6*IF($C$202="renew",Inputs!$C$44,IF($C$202="retrofit",Inputs!$C$45,IF($C$202="relet",Inputs!$C$55,0))),0)</f>
        <v>0</v>
      </c>
      <c r="M233" s="24" t="n">
        <f aca="false">IF(M$214=Inputs!$C$9+1,Inputs!$C$6*IF($C$202="renew",Inputs!$C$44,IF($C$202="retrofit",Inputs!$C$45,IF($C$202="relet",Inputs!$C$55,0))),0)</f>
        <v>12.8</v>
      </c>
      <c r="N233" s="24" t="n">
        <f aca="false">IF(N$214=Inputs!$C$9+1,Inputs!$C$6*IF($C$202="renew",Inputs!$C$44,IF($C$202="retrofit",Inputs!$C$45,IF($C$202="relet",Inputs!$C$55,0))),0)</f>
        <v>0</v>
      </c>
      <c r="O233" s="24" t="n">
        <f aca="false">IF(O$214=Inputs!$C$9+1,Inputs!$C$6*IF($C$202="renew",Inputs!$C$44,IF($C$202="retrofit",Inputs!$C$45,IF($C$202="relet",Inputs!$C$55,0))),0)</f>
        <v>0</v>
      </c>
    </row>
    <row r="234" customFormat="false" ht="15" hidden="false" customHeight="false" outlineLevel="0" collapsed="false">
      <c r="B234" s="29" t="s">
        <v>161</v>
      </c>
      <c r="E234" s="30" t="n">
        <f aca="false">E230-E231-E232-E233</f>
        <v>-34.5159552</v>
      </c>
      <c r="F234" s="30" t="n">
        <f aca="false">F230-F231-F232-F233</f>
        <v>-39.917245056</v>
      </c>
      <c r="G234" s="30" t="n">
        <f aca="false">G230-G231-G232-G233</f>
        <v>52.14621929088</v>
      </c>
      <c r="H234" s="30" t="n">
        <f aca="false">H230-H231-H232-H233</f>
        <v>66.0698984246976</v>
      </c>
      <c r="I234" s="30" t="n">
        <f aca="false">I230-I231-I232-I233</f>
        <v>80.5355491001916</v>
      </c>
      <c r="J234" s="30" t="n">
        <f aca="false">J230-J231-J232-J233</f>
        <v>81.9485976414454</v>
      </c>
      <c r="K234" s="30" t="n">
        <f aca="false">K230-K231-K232-K233</f>
        <v>83.3847453571018</v>
      </c>
      <c r="L234" s="30" t="n">
        <f aca="false">L230-L231-L232-L233</f>
        <v>84.8443125237642</v>
      </c>
      <c r="M234" s="30" t="n">
        <f aca="false">M230-M231-M232-M233</f>
        <v>66.2961291741082</v>
      </c>
      <c r="N234" s="30" t="n">
        <f aca="false">N230-N231-N232-N233</f>
        <v>80.4588760902579</v>
      </c>
      <c r="O234" s="30" t="n">
        <f aca="false">O230-O231-O232-O233</f>
        <v>81.8431253446668</v>
      </c>
    </row>
    <row r="235" customFormat="false" ht="15" hidden="false" customHeight="false" outlineLevel="0" collapsed="false">
      <c r="B235" s="6" t="s">
        <v>162</v>
      </c>
    </row>
    <row r="237" customFormat="false" ht="15" hidden="false" customHeight="false" outlineLevel="0" collapsed="false">
      <c r="B237" s="9" t="s">
        <v>163</v>
      </c>
      <c r="C237" s="23" t="n">
        <f aca="false">IF($C$202="renew",Inputs!$C$67,IF($C$202="retrofit",Inputs!$C$68,IF($C$202="relet",Inputs!$C$69,Inputs!$C$70)))+$C$208</f>
        <v>0.0625</v>
      </c>
    </row>
    <row r="238" customFormat="false" ht="15" hidden="false" customHeight="false" outlineLevel="0" collapsed="false">
      <c r="B238" s="9" t="s">
        <v>164</v>
      </c>
      <c r="C238" s="24" t="n">
        <f aca="false">O225+O227-O228-Inputs!$C$12*O225</f>
        <v>31.4414046924792</v>
      </c>
    </row>
    <row r="239" customFormat="false" ht="15" hidden="false" customHeight="false" outlineLevel="0" collapsed="false">
      <c r="B239" s="9" t="s">
        <v>165</v>
      </c>
      <c r="C239" s="24" t="n">
        <f aca="false">O230-$C$238</f>
        <v>52.8207701350069</v>
      </c>
    </row>
    <row r="240" customFormat="false" ht="15" hidden="false" customHeight="false" outlineLevel="0" collapsed="false">
      <c r="B240" s="9" t="s">
        <v>166</v>
      </c>
      <c r="C240" s="24" t="n">
        <f aca="false">IF($C$202="stranded",Inputs!$C$57*Inputs!$C$6-Inputs!$C$58,0)</f>
        <v>0</v>
      </c>
    </row>
    <row r="241" customFormat="false" ht="15" hidden="false" customHeight="false" outlineLevel="0" collapsed="false">
      <c r="B241" s="9" t="s">
        <v>167</v>
      </c>
      <c r="C241" s="24" t="n">
        <f aca="false">($C$238+$C$239)/$C$237+$C$240</f>
        <v>1348.19479723978</v>
      </c>
    </row>
    <row r="242" customFormat="false" ht="15" hidden="false" customHeight="false" outlineLevel="0" collapsed="false">
      <c r="B242" s="29" t="s">
        <v>168</v>
      </c>
      <c r="C242" s="30" t="n">
        <f aca="false">$C$241*(1-Inputs!$C$66)</f>
        <v>1327.97187528118</v>
      </c>
    </row>
    <row r="243" customFormat="false" ht="15" hidden="false" customHeight="false" outlineLevel="0" collapsed="false">
      <c r="B243" s="9" t="s">
        <v>169</v>
      </c>
      <c r="C243" s="24" t="n">
        <f aca="false">$C$212*(1+Inputs!$C$65)</f>
        <v>918</v>
      </c>
    </row>
    <row r="245" customFormat="false" ht="15" hidden="false" customHeight="false" outlineLevel="0" collapsed="false">
      <c r="B245" s="25" t="s">
        <v>170</v>
      </c>
      <c r="C245" s="26"/>
      <c r="D245" s="26" t="n">
        <v>0</v>
      </c>
      <c r="E245" s="26" t="n">
        <v>1</v>
      </c>
      <c r="F245" s="26" t="n">
        <v>2</v>
      </c>
      <c r="G245" s="26" t="n">
        <v>3</v>
      </c>
      <c r="H245" s="26" t="n">
        <v>4</v>
      </c>
      <c r="I245" s="26" t="n">
        <v>5</v>
      </c>
      <c r="J245" s="26" t="n">
        <v>6</v>
      </c>
      <c r="K245" s="26" t="n">
        <v>7</v>
      </c>
      <c r="L245" s="26" t="n">
        <v>8</v>
      </c>
      <c r="M245" s="26" t="n">
        <v>9</v>
      </c>
      <c r="N245" s="26" t="n">
        <v>10</v>
      </c>
    </row>
    <row r="246" customFormat="false" ht="15" hidden="false" customHeight="false" outlineLevel="0" collapsed="false">
      <c r="B246" s="29" t="s">
        <v>171</v>
      </c>
      <c r="D246" s="30" t="n">
        <f aca="false">-$C$243</f>
        <v>-918</v>
      </c>
      <c r="E246" s="30" t="n">
        <f aca="false">E234</f>
        <v>-34.5159552</v>
      </c>
      <c r="F246" s="30" t="n">
        <f aca="false">F234</f>
        <v>-39.917245056</v>
      </c>
      <c r="G246" s="30" t="n">
        <f aca="false">G234</f>
        <v>52.14621929088</v>
      </c>
      <c r="H246" s="30" t="n">
        <f aca="false">H234</f>
        <v>66.0698984246976</v>
      </c>
      <c r="I246" s="30" t="n">
        <f aca="false">I234</f>
        <v>80.5355491001916</v>
      </c>
      <c r="J246" s="30" t="n">
        <f aca="false">J234</f>
        <v>81.9485976414454</v>
      </c>
      <c r="K246" s="30" t="n">
        <f aca="false">K234</f>
        <v>83.3847453571018</v>
      </c>
      <c r="L246" s="30" t="n">
        <f aca="false">L234</f>
        <v>84.8443125237642</v>
      </c>
      <c r="M246" s="30" t="n">
        <f aca="false">M234</f>
        <v>66.2961291741082</v>
      </c>
      <c r="N246" s="30" t="n">
        <f aca="false">N234+$C$242</f>
        <v>1408.43075137144</v>
      </c>
    </row>
    <row r="247" customFormat="false" ht="15" hidden="false" customHeight="false" outlineLevel="0" collapsed="false">
      <c r="B247" s="29" t="s">
        <v>172</v>
      </c>
      <c r="C247" s="31" t="n">
        <f aca="false">IRR(D246:N246,0.08)</f>
        <v>0.0790018265148265</v>
      </c>
    </row>
    <row r="250" customFormat="false" ht="15" hidden="false" customHeight="false" outlineLevel="0" collapsed="false">
      <c r="B250" s="7" t="s">
        <v>229</v>
      </c>
      <c r="C250" s="8"/>
      <c r="D250" s="8"/>
      <c r="E250" s="8"/>
      <c r="F250" s="8"/>
      <c r="G250" s="8"/>
      <c r="H250" s="8"/>
      <c r="I250" s="8"/>
      <c r="J250" s="8"/>
      <c r="K250" s="8"/>
      <c r="L250" s="8"/>
      <c r="M250" s="8"/>
      <c r="N250" s="8"/>
      <c r="O250" s="8"/>
    </row>
    <row r="251" customFormat="false" ht="15" hidden="false" customHeight="false" outlineLevel="0" collapsed="false">
      <c r="B251" s="9" t="s">
        <v>130</v>
      </c>
      <c r="C251" s="18" t="str">
        <f aca="false">Inputs!$C$42</f>
        <v>renew</v>
      </c>
    </row>
    <row r="252" customFormat="false" ht="15" hidden="false" customHeight="false" outlineLevel="0" collapsed="false">
      <c r="B252" s="9" t="s">
        <v>131</v>
      </c>
      <c r="C252" s="19" t="n">
        <f aca="false">Inputs!$C$25</f>
        <v>0</v>
      </c>
    </row>
    <row r="253" customFormat="false" ht="15" hidden="false" customHeight="false" outlineLevel="0" collapsed="false">
      <c r="B253" s="9" t="s">
        <v>132</v>
      </c>
      <c r="C253" s="20" t="n">
        <f aca="false">Inputs!$C$94</f>
        <v>5</v>
      </c>
    </row>
    <row r="254" customFormat="false" ht="15" hidden="false" customHeight="false" outlineLevel="0" collapsed="false">
      <c r="B254" s="9" t="s">
        <v>133</v>
      </c>
      <c r="C254" s="13" t="n">
        <v>0</v>
      </c>
    </row>
    <row r="255" customFormat="false" ht="15" hidden="false" customHeight="false" outlineLevel="0" collapsed="false">
      <c r="B255" s="9" t="s">
        <v>134</v>
      </c>
      <c r="C255" s="21" t="n">
        <f aca="false">Inputs!$C$60</f>
        <v>0.45</v>
      </c>
    </row>
    <row r="256" customFormat="false" ht="15" hidden="false" customHeight="false" outlineLevel="0" collapsed="false">
      <c r="B256" s="9" t="s">
        <v>135</v>
      </c>
      <c r="C256" s="22" t="n">
        <f aca="false">Inputs!$C$61</f>
        <v>1.55</v>
      </c>
    </row>
    <row r="257" customFormat="false" ht="15" hidden="false" customHeight="false" outlineLevel="0" collapsed="false">
      <c r="B257" s="9" t="s">
        <v>136</v>
      </c>
      <c r="C257" s="23" t="n">
        <f aca="false">Inputs!$C$71</f>
        <v>0</v>
      </c>
    </row>
    <row r="258" customFormat="false" ht="15" hidden="false" customHeight="false" outlineLevel="0" collapsed="false">
      <c r="B258" s="9" t="s">
        <v>30</v>
      </c>
      <c r="C258" s="22" t="n">
        <f aca="false">Inputs!$C$18</f>
        <v>1.4</v>
      </c>
    </row>
    <row r="259" customFormat="false" ht="15" hidden="false" customHeight="false" outlineLevel="0" collapsed="false">
      <c r="B259" s="9" t="s">
        <v>137</v>
      </c>
      <c r="C259" s="19" t="n">
        <f aca="false">Inputs!$C$43</f>
        <v>0.9</v>
      </c>
    </row>
    <row r="260" customFormat="false" ht="15" hidden="false" customHeight="false" outlineLevel="0" collapsed="false">
      <c r="B260" s="9" t="s">
        <v>138</v>
      </c>
      <c r="C260" s="24" t="n">
        <f aca="false">Inputs!$C$49</f>
        <v>120</v>
      </c>
    </row>
    <row r="261" customFormat="false" ht="15" hidden="false" customHeight="false" outlineLevel="0" collapsed="false">
      <c r="B261" s="9" t="s">
        <v>139</v>
      </c>
      <c r="C261" s="24" t="n">
        <f aca="false">Inputs!$C$64</f>
        <v>900</v>
      </c>
    </row>
    <row r="262" customFormat="false" ht="15" hidden="false" customHeight="false" outlineLevel="0" collapsed="false">
      <c r="B262" s="9" t="s">
        <v>140</v>
      </c>
      <c r="C262" s="24" t="n">
        <f aca="false">Inputs!$C$6*1000*Inputs!$C$7*12*(1+Inputs!$C$8)^(Inputs!$C$9-1)/1000000</f>
        <v>60.8711509000706</v>
      </c>
    </row>
    <row r="263" customFormat="false" ht="15" hidden="false" customHeight="false" outlineLevel="0" collapsed="false">
      <c r="B263" s="25" t="s">
        <v>141</v>
      </c>
      <c r="C263" s="26"/>
      <c r="E263" s="26" t="n">
        <v>1</v>
      </c>
      <c r="F263" s="26" t="n">
        <v>2</v>
      </c>
      <c r="G263" s="26" t="n">
        <v>3</v>
      </c>
      <c r="H263" s="26" t="n">
        <v>4</v>
      </c>
      <c r="I263" s="26" t="n">
        <v>5</v>
      </c>
      <c r="J263" s="26" t="n">
        <v>6</v>
      </c>
      <c r="K263" s="26" t="n">
        <v>7</v>
      </c>
      <c r="L263" s="26" t="n">
        <v>8</v>
      </c>
      <c r="M263" s="26" t="n">
        <v>9</v>
      </c>
      <c r="N263" s="26" t="n">
        <v>10</v>
      </c>
      <c r="O263" s="26" t="n">
        <v>11</v>
      </c>
    </row>
    <row r="264" customFormat="false" ht="15" hidden="false" customHeight="false" outlineLevel="0" collapsed="false">
      <c r="B264" s="9" t="s">
        <v>142</v>
      </c>
      <c r="E264" s="24" t="n">
        <f aca="false">IF(E$263&lt;=Inputs!$C$22,Inputs!$C$21,Inputs!$C$23*(1+Inputs!$C$24)^(E$263-5)*IF(AND($C$252&lt;&gt;0,E$263&gt;=Inputs!$C$26),1+$C$252,1))</f>
        <v>61</v>
      </c>
      <c r="F264" s="24" t="n">
        <f aca="false">IF(F$263&lt;=Inputs!$C$22,Inputs!$C$21,Inputs!$C$23*(1+Inputs!$C$24)^(F$263-5)*IF(AND($C$252&lt;&gt;0,F$263&gt;=Inputs!$C$26),1+$C$252,1))</f>
        <v>61</v>
      </c>
      <c r="G264" s="24" t="n">
        <f aca="false">IF(G$263&lt;=Inputs!$C$22,Inputs!$C$21,Inputs!$C$23*(1+Inputs!$C$24)^(G$263-5)*IF(AND($C$252&lt;&gt;0,G$263&gt;=Inputs!$C$26),1+$C$252,1))</f>
        <v>61</v>
      </c>
      <c r="H264" s="24" t="n">
        <f aca="false">IF(H$263&lt;=Inputs!$C$22,Inputs!$C$21,Inputs!$C$23*(1+Inputs!$C$24)^(H$263-5)*IF(AND($C$252&lt;&gt;0,H$263&gt;=Inputs!$C$26),1+$C$252,1))</f>
        <v>61</v>
      </c>
      <c r="I264" s="24" t="n">
        <f aca="false">IF(I$263&lt;=Inputs!$C$22,Inputs!$C$21,Inputs!$C$23*(1+Inputs!$C$24)^(I$263-5)*IF(AND($C$252&lt;&gt;0,I$263&gt;=Inputs!$C$26),1+$C$252,1))</f>
        <v>67</v>
      </c>
      <c r="J264" s="24" t="n">
        <f aca="false">IF(J$263&lt;=Inputs!$C$22,Inputs!$C$21,Inputs!$C$23*(1+Inputs!$C$24)^(J$263-5)*IF(AND($C$252&lt;&gt;0,J$263&gt;=Inputs!$C$26),1+$C$252,1))</f>
        <v>68.675</v>
      </c>
      <c r="K264" s="24" t="n">
        <f aca="false">IF(K$263&lt;=Inputs!$C$22,Inputs!$C$21,Inputs!$C$23*(1+Inputs!$C$24)^(K$263-5)*IF(AND($C$252&lt;&gt;0,K$263&gt;=Inputs!$C$26),1+$C$252,1))</f>
        <v>70.391875</v>
      </c>
      <c r="L264" s="24" t="n">
        <f aca="false">IF(L$263&lt;=Inputs!$C$22,Inputs!$C$21,Inputs!$C$23*(1+Inputs!$C$24)^(L$263-5)*IF(AND($C$252&lt;&gt;0,L$263&gt;=Inputs!$C$26),1+$C$252,1))</f>
        <v>72.151671875</v>
      </c>
      <c r="M264" s="24" t="n">
        <f aca="false">IF(M$263&lt;=Inputs!$C$22,Inputs!$C$21,Inputs!$C$23*(1+Inputs!$C$24)^(M$263-5)*IF(AND($C$252&lt;&gt;0,M$263&gt;=Inputs!$C$26),1+$C$252,1))</f>
        <v>73.955463671875</v>
      </c>
      <c r="N264" s="24" t="n">
        <f aca="false">IF(N$263&lt;=Inputs!$C$22,Inputs!$C$21,Inputs!$C$23*(1+Inputs!$C$24)^(N$263-5)*IF(AND($C$252&lt;&gt;0,N$263&gt;=Inputs!$C$26),1+$C$252,1))</f>
        <v>75.8043502636718</v>
      </c>
      <c r="O264" s="24" t="n">
        <f aca="false">IF(O$263&lt;=Inputs!$C$22,Inputs!$C$21,Inputs!$C$23*(1+Inputs!$C$24)^(O$263-5)*IF(AND($C$252&lt;&gt;0,O$263&gt;=Inputs!$C$26),1+$C$252,1))</f>
        <v>77.6994590202636</v>
      </c>
    </row>
    <row r="265" customFormat="false" ht="15" hidden="false" customHeight="false" outlineLevel="0" collapsed="false">
      <c r="B265" s="9" t="s">
        <v>143</v>
      </c>
      <c r="E265" s="24" t="n">
        <f aca="false">Inputs!$C$19*(1+Inputs!$C$20)^(E$263-1)</f>
        <v>74</v>
      </c>
      <c r="F265" s="24" t="n">
        <f aca="false">Inputs!$C$19*(1+Inputs!$C$20)^(F$263-1)</f>
        <v>75.48</v>
      </c>
      <c r="G265" s="24" t="n">
        <f aca="false">Inputs!$C$19*(1+Inputs!$C$20)^(G$263-1)</f>
        <v>76.9896</v>
      </c>
      <c r="H265" s="24" t="n">
        <f aca="false">Inputs!$C$19*(1+Inputs!$C$20)^(H$263-1)</f>
        <v>78.529392</v>
      </c>
      <c r="I265" s="24" t="n">
        <f aca="false">Inputs!$C$19*(1+Inputs!$C$20)^(I$263-1)</f>
        <v>80.09997984</v>
      </c>
      <c r="J265" s="24" t="n">
        <f aca="false">Inputs!$C$19*(1+Inputs!$C$20)^(J$263-1)</f>
        <v>81.7019794368</v>
      </c>
      <c r="K265" s="24" t="n">
        <f aca="false">Inputs!$C$19*(1+Inputs!$C$20)^(K$263-1)</f>
        <v>83.336019025536</v>
      </c>
      <c r="L265" s="24" t="n">
        <f aca="false">Inputs!$C$19*(1+Inputs!$C$20)^(L$263-1)</f>
        <v>85.0027394060467</v>
      </c>
      <c r="M265" s="24" t="n">
        <f aca="false">Inputs!$C$19*(1+Inputs!$C$20)^(M$263-1)</f>
        <v>86.7027941941677</v>
      </c>
      <c r="N265" s="24" t="n">
        <f aca="false">Inputs!$C$19*(1+Inputs!$C$20)^(N$263-1)</f>
        <v>88.436850078051</v>
      </c>
      <c r="O265" s="24" t="n">
        <f aca="false">Inputs!$C$19*(1+Inputs!$C$20)^(O$263-1)</f>
        <v>90.205587079612</v>
      </c>
    </row>
    <row r="266" customFormat="false" ht="15" hidden="false" customHeight="false" outlineLevel="0" collapsed="false">
      <c r="B266" s="9" t="s">
        <v>144</v>
      </c>
      <c r="E266" s="27" t="n">
        <f aca="false">(1+Inputs!$C$11)^(E$263-1)</f>
        <v>1</v>
      </c>
      <c r="F266" s="27" t="n">
        <f aca="false">(1+Inputs!$C$11)^(F$263-1)</f>
        <v>1.03</v>
      </c>
      <c r="G266" s="27" t="n">
        <f aca="false">(1+Inputs!$C$11)^(G$263-1)</f>
        <v>1.0609</v>
      </c>
      <c r="H266" s="27" t="n">
        <f aca="false">(1+Inputs!$C$11)^(H$263-1)</f>
        <v>1.092727</v>
      </c>
      <c r="I266" s="27" t="n">
        <f aca="false">(1+Inputs!$C$11)^(I$263-1)</f>
        <v>1.12550881</v>
      </c>
      <c r="J266" s="27" t="n">
        <f aca="false">(1+Inputs!$C$11)^(J$263-1)</f>
        <v>1.1592740743</v>
      </c>
      <c r="K266" s="27" t="n">
        <f aca="false">(1+Inputs!$C$11)^(K$263-1)</f>
        <v>1.194052296529</v>
      </c>
      <c r="L266" s="27" t="n">
        <f aca="false">(1+Inputs!$C$11)^(L$263-1)</f>
        <v>1.22987386542487</v>
      </c>
      <c r="M266" s="27" t="n">
        <f aca="false">(1+Inputs!$C$11)^(M$263-1)</f>
        <v>1.26677008138762</v>
      </c>
      <c r="N266" s="27" t="n">
        <f aca="false">(1+Inputs!$C$11)^(N$263-1)</f>
        <v>1.30477318382925</v>
      </c>
      <c r="O266" s="27" t="n">
        <f aca="false">(1+Inputs!$C$11)^(O$263-1)</f>
        <v>1.34391637934412</v>
      </c>
    </row>
    <row r="267" customFormat="false" ht="15" hidden="false" customHeight="false" outlineLevel="0" collapsed="false">
      <c r="B267" s="9" t="s">
        <v>145</v>
      </c>
      <c r="E267" s="19" t="n">
        <f aca="false">IF(OR(E$263&lt;=Inputs!$C$9,$C$251="renew"),IF(AND($C$254&gt;0,E$263&gt;=$C$254),$C$255,Inputs!$C$16),IF($C$251="stranded",0,Inputs!$C$16))</f>
        <v>0.8</v>
      </c>
      <c r="F267" s="19" t="n">
        <f aca="false">IF(OR(F$263&lt;=Inputs!$C$9,$C$251="renew"),IF(AND($C$254&gt;0,F$263&gt;=$C$254),$C$255,Inputs!$C$16),IF($C$251="stranded",0,Inputs!$C$16))</f>
        <v>0.8</v>
      </c>
      <c r="G267" s="19" t="n">
        <f aca="false">IF(OR(G$263&lt;=Inputs!$C$9,$C$251="renew"),IF(AND($C$254&gt;0,G$263&gt;=$C$254),$C$255,Inputs!$C$16),IF($C$251="stranded",0,Inputs!$C$16))</f>
        <v>0.8</v>
      </c>
      <c r="H267" s="19" t="n">
        <f aca="false">IF(OR(H$263&lt;=Inputs!$C$9,$C$251="renew"),IF(AND($C$254&gt;0,H$263&gt;=$C$254),$C$255,Inputs!$C$16),IF($C$251="stranded",0,Inputs!$C$16))</f>
        <v>0.8</v>
      </c>
      <c r="I267" s="19" t="n">
        <f aca="false">IF(OR(I$263&lt;=Inputs!$C$9,$C$251="renew"),IF(AND($C$254&gt;0,I$263&gt;=$C$254),$C$255,Inputs!$C$16),IF($C$251="stranded",0,Inputs!$C$16))</f>
        <v>0.8</v>
      </c>
      <c r="J267" s="19" t="n">
        <f aca="false">IF(OR(J$263&lt;=Inputs!$C$9,$C$251="renew"),IF(AND($C$254&gt;0,J$263&gt;=$C$254),$C$255,Inputs!$C$16),IF($C$251="stranded",0,Inputs!$C$16))</f>
        <v>0.8</v>
      </c>
      <c r="K267" s="19" t="n">
        <f aca="false">IF(OR(K$263&lt;=Inputs!$C$9,$C$251="renew"),IF(AND($C$254&gt;0,K$263&gt;=$C$254),$C$255,Inputs!$C$16),IF($C$251="stranded",0,Inputs!$C$16))</f>
        <v>0.8</v>
      </c>
      <c r="L267" s="19" t="n">
        <f aca="false">IF(OR(L$263&lt;=Inputs!$C$9,$C$251="renew"),IF(AND($C$254&gt;0,L$263&gt;=$C$254),$C$255,Inputs!$C$16),IF($C$251="stranded",0,Inputs!$C$16))</f>
        <v>0.8</v>
      </c>
      <c r="M267" s="19" t="n">
        <f aca="false">IF(OR(M$263&lt;=Inputs!$C$9,$C$251="renew"),IF(AND($C$254&gt;0,M$263&gt;=$C$254),$C$255,Inputs!$C$16),IF($C$251="stranded",0,Inputs!$C$16))</f>
        <v>0.8</v>
      </c>
      <c r="N267" s="19" t="n">
        <f aca="false">IF(OR(N$263&lt;=Inputs!$C$9,$C$251="renew"),IF(AND($C$254&gt;0,N$263&gt;=$C$254),$C$255,Inputs!$C$16),IF($C$251="stranded",0,Inputs!$C$16))</f>
        <v>0.8</v>
      </c>
      <c r="O267" s="19" t="n">
        <f aca="false">IF(OR(O$263&lt;=Inputs!$C$9,$C$251="renew"),IF(AND($C$254&gt;0,O$263&gt;=$C$254),$C$255,Inputs!$C$16),IF($C$251="stranded",0,Inputs!$C$16))</f>
        <v>0.8</v>
      </c>
    </row>
    <row r="268" customFormat="false" ht="15" hidden="false" customHeight="false" outlineLevel="0" collapsed="false">
      <c r="B268" s="9" t="s">
        <v>146</v>
      </c>
      <c r="E268" s="22" t="n">
        <f aca="false">IF(OR(E$263&lt;=Inputs!$C$9,$C$251="renew"),IF(AND($C$254&gt;0,E$263&gt;=$C$254),$C$256,$C$258),IF($C$251="retrofit",Inputs!$C$47,IF($C$251="relet",Inputs!$C$53,0)))</f>
        <v>1.4</v>
      </c>
      <c r="F268" s="22" t="n">
        <f aca="false">IF(OR(F$263&lt;=Inputs!$C$9,$C$251="renew"),IF(AND($C$254&gt;0,F$263&gt;=$C$254),$C$256,$C$258),IF($C$251="retrofit",Inputs!$C$47,IF($C$251="relet",Inputs!$C$53,0)))</f>
        <v>1.4</v>
      </c>
      <c r="G268" s="22" t="n">
        <f aca="false">IF(OR(G$263&lt;=Inputs!$C$9,$C$251="renew"),IF(AND($C$254&gt;0,G$263&gt;=$C$254),$C$256,$C$258),IF($C$251="retrofit",Inputs!$C$47,IF($C$251="relet",Inputs!$C$53,0)))</f>
        <v>1.4</v>
      </c>
      <c r="H268" s="22" t="n">
        <f aca="false">IF(OR(H$263&lt;=Inputs!$C$9,$C$251="renew"),IF(AND($C$254&gt;0,H$263&gt;=$C$254),$C$256,$C$258),IF($C$251="retrofit",Inputs!$C$47,IF($C$251="relet",Inputs!$C$53,0)))</f>
        <v>1.4</v>
      </c>
      <c r="I268" s="22" t="n">
        <f aca="false">IF(OR(I$263&lt;=Inputs!$C$9,$C$251="renew"),IF(AND($C$254&gt;0,I$263&gt;=$C$254),$C$256,$C$258),IF($C$251="retrofit",Inputs!$C$47,IF($C$251="relet",Inputs!$C$53,0)))</f>
        <v>1.4</v>
      </c>
      <c r="J268" s="22" t="n">
        <f aca="false">IF(OR(J$263&lt;=Inputs!$C$9,$C$251="renew"),IF(AND($C$254&gt;0,J$263&gt;=$C$254),$C$256,$C$258),IF($C$251="retrofit",Inputs!$C$47,IF($C$251="relet",Inputs!$C$53,0)))</f>
        <v>1.4</v>
      </c>
      <c r="K268" s="22" t="n">
        <f aca="false">IF(OR(K$263&lt;=Inputs!$C$9,$C$251="renew"),IF(AND($C$254&gt;0,K$263&gt;=$C$254),$C$256,$C$258),IF($C$251="retrofit",Inputs!$C$47,IF($C$251="relet",Inputs!$C$53,0)))</f>
        <v>1.4</v>
      </c>
      <c r="L268" s="22" t="n">
        <f aca="false">IF(OR(L$263&lt;=Inputs!$C$9,$C$251="renew"),IF(AND($C$254&gt;0,L$263&gt;=$C$254),$C$256,$C$258),IF($C$251="retrofit",Inputs!$C$47,IF($C$251="relet",Inputs!$C$53,0)))</f>
        <v>1.4</v>
      </c>
      <c r="M268" s="22" t="n">
        <f aca="false">IF(OR(M$263&lt;=Inputs!$C$9,$C$251="renew"),IF(AND($C$254&gt;0,M$263&gt;=$C$254),$C$256,$C$258),IF($C$251="retrofit",Inputs!$C$47,IF($C$251="relet",Inputs!$C$53,0)))</f>
        <v>1.4</v>
      </c>
      <c r="N268" s="22" t="n">
        <f aca="false">IF(OR(N$263&lt;=Inputs!$C$9,$C$251="renew"),IF(AND($C$254&gt;0,N$263&gt;=$C$254),$C$256,$C$258),IF($C$251="retrofit",Inputs!$C$47,IF($C$251="relet",Inputs!$C$53,0)))</f>
        <v>1.4</v>
      </c>
      <c r="O268" s="22" t="n">
        <f aca="false">IF(OR(O$263&lt;=Inputs!$C$9,$C$251="renew"),IF(AND($C$254&gt;0,O$263&gt;=$C$254),$C$256,$C$258),IF($C$251="retrofit",Inputs!$C$47,IF($C$251="relet",Inputs!$C$53,0)))</f>
        <v>1.4</v>
      </c>
    </row>
    <row r="269" customFormat="false" ht="15" hidden="false" customHeight="false" outlineLevel="0" collapsed="false">
      <c r="B269" s="9" t="s">
        <v>147</v>
      </c>
      <c r="E269" s="21" t="n">
        <f aca="false">IF(OR(E$263&lt;=Inputs!$C$9,$C$251="renew"),1,IF($C$251="retrofit",IF(E$263-Inputs!$C$9=1,0,1),IF($C$251="relet",CHOOSE(MIN(E$263-Inputs!$C$9,3),Inputs!$C$50,Inputs!$C$51,Inputs!$C$52),0)))</f>
        <v>1</v>
      </c>
      <c r="F269" s="21" t="n">
        <f aca="false">IF(OR(F$263&lt;=Inputs!$C$9,$C$251="renew"),1,IF($C$251="retrofit",IF(F$263-Inputs!$C$9=1,0,1),IF($C$251="relet",CHOOSE(MIN(F$263-Inputs!$C$9,3),Inputs!$C$50,Inputs!$C$51,Inputs!$C$52),0)))</f>
        <v>1</v>
      </c>
      <c r="G269" s="21" t="n">
        <f aca="false">IF(OR(G$263&lt;=Inputs!$C$9,$C$251="renew"),1,IF($C$251="retrofit",IF(G$263-Inputs!$C$9=1,0,1),IF($C$251="relet",CHOOSE(MIN(G$263-Inputs!$C$9,3),Inputs!$C$50,Inputs!$C$51,Inputs!$C$52),0)))</f>
        <v>1</v>
      </c>
      <c r="H269" s="21" t="n">
        <f aca="false">IF(OR(H$263&lt;=Inputs!$C$9,$C$251="renew"),1,IF($C$251="retrofit",IF(H$263-Inputs!$C$9=1,0,1),IF($C$251="relet",CHOOSE(MIN(H$263-Inputs!$C$9,3),Inputs!$C$50,Inputs!$C$51,Inputs!$C$52),0)))</f>
        <v>1</v>
      </c>
      <c r="I269" s="21" t="n">
        <f aca="false">IF(OR(I$263&lt;=Inputs!$C$9,$C$251="renew"),1,IF($C$251="retrofit",IF(I$263-Inputs!$C$9=1,0,1),IF($C$251="relet",CHOOSE(MIN(I$263-Inputs!$C$9,3),Inputs!$C$50,Inputs!$C$51,Inputs!$C$52),0)))</f>
        <v>1</v>
      </c>
      <c r="J269" s="21" t="n">
        <f aca="false">IF(OR(J$263&lt;=Inputs!$C$9,$C$251="renew"),1,IF($C$251="retrofit",IF(J$263-Inputs!$C$9=1,0,1),IF($C$251="relet",CHOOSE(MIN(J$263-Inputs!$C$9,3),Inputs!$C$50,Inputs!$C$51,Inputs!$C$52),0)))</f>
        <v>1</v>
      </c>
      <c r="K269" s="21" t="n">
        <f aca="false">IF(OR(K$263&lt;=Inputs!$C$9,$C$251="renew"),1,IF($C$251="retrofit",IF(K$263-Inputs!$C$9=1,0,1),IF($C$251="relet",CHOOSE(MIN(K$263-Inputs!$C$9,3),Inputs!$C$50,Inputs!$C$51,Inputs!$C$52),0)))</f>
        <v>1</v>
      </c>
      <c r="L269" s="21" t="n">
        <f aca="false">IF(OR(L$263&lt;=Inputs!$C$9,$C$251="renew"),1,IF($C$251="retrofit",IF(L$263-Inputs!$C$9=1,0,1),IF($C$251="relet",CHOOSE(MIN(L$263-Inputs!$C$9,3),Inputs!$C$50,Inputs!$C$51,Inputs!$C$52),0)))</f>
        <v>1</v>
      </c>
      <c r="M269" s="21" t="n">
        <f aca="false">IF(OR(M$263&lt;=Inputs!$C$9,$C$251="renew"),1,IF($C$251="retrofit",IF(M$263-Inputs!$C$9=1,0,1),IF($C$251="relet",CHOOSE(MIN(M$263-Inputs!$C$9,3),Inputs!$C$50,Inputs!$C$51,Inputs!$C$52),0)))</f>
        <v>1</v>
      </c>
      <c r="N269" s="21" t="n">
        <f aca="false">IF(OR(N$263&lt;=Inputs!$C$9,$C$251="renew"),1,IF($C$251="retrofit",IF(N$263-Inputs!$C$9=1,0,1),IF($C$251="relet",CHOOSE(MIN(N$263-Inputs!$C$9,3),Inputs!$C$50,Inputs!$C$51,Inputs!$C$52),0)))</f>
        <v>1</v>
      </c>
      <c r="O269" s="21" t="n">
        <f aca="false">IF(OR(O$263&lt;=Inputs!$C$9,$C$251="renew"),1,IF($C$251="retrofit",IF(O$263-Inputs!$C$9=1,0,1),IF($C$251="relet",CHOOSE(MIN(O$263-Inputs!$C$9,3),Inputs!$C$50,Inputs!$C$51,Inputs!$C$52),0)))</f>
        <v>1</v>
      </c>
    </row>
    <row r="270" customFormat="false" ht="15" hidden="false" customHeight="false" outlineLevel="0" collapsed="false">
      <c r="B270" s="9" t="s">
        <v>148</v>
      </c>
      <c r="E270" s="28" t="n">
        <f aca="false">Inputs!$C$6*1000*E267*E269*8760/1000</f>
        <v>224256</v>
      </c>
      <c r="F270" s="28" t="n">
        <f aca="false">Inputs!$C$6*1000*F267*F269*8760/1000</f>
        <v>224256</v>
      </c>
      <c r="G270" s="28" t="n">
        <f aca="false">Inputs!$C$6*1000*G267*G269*8760/1000</f>
        <v>224256</v>
      </c>
      <c r="H270" s="28" t="n">
        <f aca="false">Inputs!$C$6*1000*H267*H269*8760/1000</f>
        <v>224256</v>
      </c>
      <c r="I270" s="28" t="n">
        <f aca="false">Inputs!$C$6*1000*I267*I269*8760/1000</f>
        <v>224256</v>
      </c>
      <c r="J270" s="28" t="n">
        <f aca="false">Inputs!$C$6*1000*J267*J269*8760/1000</f>
        <v>224256</v>
      </c>
      <c r="K270" s="28" t="n">
        <f aca="false">Inputs!$C$6*1000*K267*K269*8760/1000</f>
        <v>224256</v>
      </c>
      <c r="L270" s="28" t="n">
        <f aca="false">Inputs!$C$6*1000*L267*L269*8760/1000</f>
        <v>224256</v>
      </c>
      <c r="M270" s="28" t="n">
        <f aca="false">Inputs!$C$6*1000*M267*M269*8760/1000</f>
        <v>224256</v>
      </c>
      <c r="N270" s="28" t="n">
        <f aca="false">Inputs!$C$6*1000*N267*N269*8760/1000</f>
        <v>224256</v>
      </c>
      <c r="O270" s="28" t="n">
        <f aca="false">Inputs!$C$6*1000*O267*O269*8760/1000</f>
        <v>224256</v>
      </c>
    </row>
    <row r="271" customFormat="false" ht="15" hidden="false" customHeight="false" outlineLevel="0" collapsed="false">
      <c r="B271" s="9" t="s">
        <v>149</v>
      </c>
      <c r="E271" s="24" t="n">
        <f aca="false">IF(E$263&lt;=Inputs!$C$9,Inputs!$C$6*1000*Inputs!$C$7*12*(1+Inputs!$C$8)^(E$263-1)/1000000,IF($C$251="renew",$C$262*$C$259*(1+Inputs!$C$8)^(E$263-Inputs!$C$9-1),IF($C$251="retrofit",IF(E$263-Inputs!$C$9=1,0,Inputs!$C$6*1000*Inputs!$C$46*12*(1+Inputs!$C$8)^(E$263-Inputs!$C$9-2)/1000000),IF($C$251="relet",Inputs!$C$6*1000*E269*$C$260*12*(1+Inputs!$C$8)^(E$263-Inputs!$C$9-2)/1000000,0))))</f>
        <v>52.992</v>
      </c>
      <c r="F271" s="24" t="n">
        <f aca="false">IF(F$263&lt;=Inputs!$C$9,Inputs!$C$6*1000*Inputs!$C$7*12*(1+Inputs!$C$8)^(F$263-1)/1000000,IF($C$251="renew",$C$262*$C$259*(1+Inputs!$C$8)^(F$263-Inputs!$C$9-1),IF($C$251="retrofit",IF(F$263-Inputs!$C$9=1,0,Inputs!$C$6*1000*Inputs!$C$46*12*(1+Inputs!$C$8)^(F$263-Inputs!$C$9-2)/1000000),IF($C$251="relet",Inputs!$C$6*1000*F269*$C$260*12*(1+Inputs!$C$8)^(F$263-Inputs!$C$9-2)/1000000,0))))</f>
        <v>54.05184</v>
      </c>
      <c r="G271" s="24" t="n">
        <f aca="false">IF(G$263&lt;=Inputs!$C$9,Inputs!$C$6*1000*Inputs!$C$7*12*(1+Inputs!$C$8)^(G$263-1)/1000000,IF($C$251="renew",$C$262*$C$259*(1+Inputs!$C$8)^(G$263-Inputs!$C$9-1),IF($C$251="retrofit",IF(G$263-Inputs!$C$9=1,0,Inputs!$C$6*1000*Inputs!$C$46*12*(1+Inputs!$C$8)^(G$263-Inputs!$C$9-2)/1000000),IF($C$251="relet",Inputs!$C$6*1000*G269*$C$260*12*(1+Inputs!$C$8)^(G$263-Inputs!$C$9-2)/1000000,0))))</f>
        <v>55.1328768</v>
      </c>
      <c r="H271" s="24" t="n">
        <f aca="false">IF(H$263&lt;=Inputs!$C$9,Inputs!$C$6*1000*Inputs!$C$7*12*(1+Inputs!$C$8)^(H$263-1)/1000000,IF($C$251="renew",$C$262*$C$259*(1+Inputs!$C$8)^(H$263-Inputs!$C$9-1),IF($C$251="retrofit",IF(H$263-Inputs!$C$9=1,0,Inputs!$C$6*1000*Inputs!$C$46*12*(1+Inputs!$C$8)^(H$263-Inputs!$C$9-2)/1000000),IF($C$251="relet",Inputs!$C$6*1000*H269*$C$260*12*(1+Inputs!$C$8)^(H$263-Inputs!$C$9-2)/1000000,0))))</f>
        <v>56.235534336</v>
      </c>
      <c r="I271" s="24" t="n">
        <f aca="false">IF(I$263&lt;=Inputs!$C$9,Inputs!$C$6*1000*Inputs!$C$7*12*(1+Inputs!$C$8)^(I$263-1)/1000000,IF($C$251="renew",$C$262*$C$259*(1+Inputs!$C$8)^(I$263-Inputs!$C$9-1),IF($C$251="retrofit",IF(I$263-Inputs!$C$9=1,0,Inputs!$C$6*1000*Inputs!$C$46*12*(1+Inputs!$C$8)^(I$263-Inputs!$C$9-2)/1000000),IF($C$251="relet",Inputs!$C$6*1000*I269*$C$260*12*(1+Inputs!$C$8)^(I$263-Inputs!$C$9-2)/1000000,0))))</f>
        <v>57.36024502272</v>
      </c>
      <c r="J271" s="24" t="n">
        <f aca="false">IF(J$263&lt;=Inputs!$C$9,Inputs!$C$6*1000*Inputs!$C$7*12*(1+Inputs!$C$8)^(J$263-1)/1000000,IF($C$251="renew",$C$262*$C$259*(1+Inputs!$C$8)^(J$263-Inputs!$C$9-1),IF($C$251="retrofit",IF(J$263-Inputs!$C$9=1,0,Inputs!$C$6*1000*Inputs!$C$46*12*(1+Inputs!$C$8)^(J$263-Inputs!$C$9-2)/1000000),IF($C$251="relet",Inputs!$C$6*1000*J269*$C$260*12*(1+Inputs!$C$8)^(J$263-Inputs!$C$9-2)/1000000,0))))</f>
        <v>58.5074499231744</v>
      </c>
      <c r="K271" s="24" t="n">
        <f aca="false">IF(K$263&lt;=Inputs!$C$9,Inputs!$C$6*1000*Inputs!$C$7*12*(1+Inputs!$C$8)^(K$263-1)/1000000,IF($C$251="renew",$C$262*$C$259*(1+Inputs!$C$8)^(K$263-Inputs!$C$9-1),IF($C$251="retrofit",IF(K$263-Inputs!$C$9=1,0,Inputs!$C$6*1000*Inputs!$C$46*12*(1+Inputs!$C$8)^(K$263-Inputs!$C$9-2)/1000000),IF($C$251="relet",Inputs!$C$6*1000*K269*$C$260*12*(1+Inputs!$C$8)^(K$263-Inputs!$C$9-2)/1000000,0))))</f>
        <v>59.6775989216379</v>
      </c>
      <c r="L271" s="24" t="n">
        <f aca="false">IF(L$263&lt;=Inputs!$C$9,Inputs!$C$6*1000*Inputs!$C$7*12*(1+Inputs!$C$8)^(L$263-1)/1000000,IF($C$251="renew",$C$262*$C$259*(1+Inputs!$C$8)^(L$263-Inputs!$C$9-1),IF($C$251="retrofit",IF(L$263-Inputs!$C$9=1,0,Inputs!$C$6*1000*Inputs!$C$46*12*(1+Inputs!$C$8)^(L$263-Inputs!$C$9-2)/1000000),IF($C$251="relet",Inputs!$C$6*1000*L269*$C$260*12*(1+Inputs!$C$8)^(L$263-Inputs!$C$9-2)/1000000,0))))</f>
        <v>60.8711509000706</v>
      </c>
      <c r="M271" s="24" t="n">
        <f aca="false">IF(M$263&lt;=Inputs!$C$9,Inputs!$C$6*1000*Inputs!$C$7*12*(1+Inputs!$C$8)^(M$263-1)/1000000,IF($C$251="renew",$C$262*$C$259*(1+Inputs!$C$8)^(M$263-Inputs!$C$9-1),IF($C$251="retrofit",IF(M$263-Inputs!$C$9=1,0,Inputs!$C$6*1000*Inputs!$C$46*12*(1+Inputs!$C$8)^(M$263-Inputs!$C$9-2)/1000000),IF($C$251="relet",Inputs!$C$6*1000*M269*$C$260*12*(1+Inputs!$C$8)^(M$263-Inputs!$C$9-2)/1000000,0))))</f>
        <v>54.7840358100636</v>
      </c>
      <c r="N271" s="24" t="n">
        <f aca="false">IF(N$263&lt;=Inputs!$C$9,Inputs!$C$6*1000*Inputs!$C$7*12*(1+Inputs!$C$8)^(N$263-1)/1000000,IF($C$251="renew",$C$262*$C$259*(1+Inputs!$C$8)^(N$263-Inputs!$C$9-1),IF($C$251="retrofit",IF(N$263-Inputs!$C$9=1,0,Inputs!$C$6*1000*Inputs!$C$46*12*(1+Inputs!$C$8)^(N$263-Inputs!$C$9-2)/1000000),IF($C$251="relet",Inputs!$C$6*1000*N269*$C$260*12*(1+Inputs!$C$8)^(N$263-Inputs!$C$9-2)/1000000,0))))</f>
        <v>55.8797165262649</v>
      </c>
      <c r="O271" s="24" t="n">
        <f aca="false">IF(O$263&lt;=Inputs!$C$9,Inputs!$C$6*1000*Inputs!$C$7*12*(1+Inputs!$C$8)^(O$263-1)/1000000,IF($C$251="renew",$C$262*$C$259*(1+Inputs!$C$8)^(O$263-Inputs!$C$9-1),IF($C$251="retrofit",IF(O$263-Inputs!$C$9=1,0,Inputs!$C$6*1000*Inputs!$C$46*12*(1+Inputs!$C$8)^(O$263-Inputs!$C$9-2)/1000000),IF($C$251="relet",Inputs!$C$6*1000*O269*$C$260*12*(1+Inputs!$C$8)^(O$263-Inputs!$C$9-2)/1000000,0))))</f>
        <v>56.9973108567902</v>
      </c>
    </row>
    <row r="272" customFormat="false" ht="15" hidden="false" customHeight="false" outlineLevel="0" collapsed="false">
      <c r="B272" s="9" t="s">
        <v>150</v>
      </c>
      <c r="E272" s="24" t="n">
        <f aca="false">IF(OR(E$263&lt;=Inputs!$C$9,$C$251="renew"),E270*(Inputs!$C$17*E265-E268*E264)/1000000,E270*E268*Inputs!$C$27/1000000)</f>
        <v>2.4219648</v>
      </c>
      <c r="F272" s="24" t="n">
        <f aca="false">IF(OR(F$263&lt;=Inputs!$C$9,$C$251="renew"),F270*(Inputs!$C$17*F265-F268*F264)/1000000,F270*F268*Inputs!$C$27/1000000)</f>
        <v>2.853433344</v>
      </c>
      <c r="G272" s="24" t="n">
        <f aca="false">IF(OR(G$263&lt;=Inputs!$C$9,$C$251="renew"),G270*(Inputs!$C$17*G265-G268*G264)/1000000,G270*G268*Inputs!$C$27/1000000)</f>
        <v>3.29353125888</v>
      </c>
      <c r="H272" s="24" t="n">
        <f aca="false">IF(OR(H$263&lt;=Inputs!$C$9,$C$251="renew"),H270*(Inputs!$C$17*H265-H268*H264)/1000000,H270*H268*Inputs!$C$27/1000000)</f>
        <v>3.74243113205761</v>
      </c>
      <c r="I272" s="24" t="n">
        <f aca="false">IF(OR(I$263&lt;=Inputs!$C$9,$C$251="renew"),I270*(Inputs!$C$17*I265-I268*I264)/1000000,I270*I268*Inputs!$C$27/1000000)</f>
        <v>2.31655860269875</v>
      </c>
      <c r="J272" s="24" t="n">
        <f aca="false">IF(OR(J$263&lt;=Inputs!$C$9,$C$251="renew"),J270*(Inputs!$C$17*J265-J268*J264)/1000000,J270*J268*Inputs!$C$27/1000000)</f>
        <v>2.25771371075273</v>
      </c>
      <c r="K272" s="24" t="n">
        <f aca="false">IF(OR(K$263&lt;=Inputs!$C$9,$C$251="renew"),K270*(Inputs!$C$17*K265-K268*K264)/1000000,K270*K268*Inputs!$C$27/1000000)</f>
        <v>2.19506251936779</v>
      </c>
      <c r="L272" s="24" t="n">
        <f aca="false">IF(OR(L$263&lt;=Inputs!$C$9,$C$251="renew"),L270*(Inputs!$C$17*L265-L268*L264)/1000000,L270*L268*Inputs!$C$27/1000000)</f>
        <v>2.12846316751515</v>
      </c>
      <c r="M272" s="24" t="n">
        <f aca="false">IF(OR(M$263&lt;=Inputs!$C$9,$C$251="renew"),M270*(Inputs!$C$17*M265-M268*M264)/1000000,M270*M268*Inputs!$C$27/1000000)</f>
        <v>2.05776931356946</v>
      </c>
      <c r="N272" s="24" t="n">
        <f aca="false">IF(OR(N$263&lt;=Inputs!$C$9,$C$251="renew"),N270*(Inputs!$C$17*N265-N268*N264)/1000000,N270*N268*Inputs!$C$27/1000000)</f>
        <v>1.98283000461245</v>
      </c>
      <c r="O272" s="24" t="n">
        <f aca="false">IF(OR(O$263&lt;=Inputs!$C$9,$C$251="renew"),O270*(Inputs!$C$17*O265-O268*O264)/1000000,O270*O268*Inputs!$C$27/1000000)</f>
        <v>1.90348954209559</v>
      </c>
    </row>
    <row r="273" customFormat="false" ht="15" hidden="false" customHeight="false" outlineLevel="0" collapsed="false">
      <c r="B273" s="9" t="s">
        <v>151</v>
      </c>
      <c r="E273" s="24" t="n">
        <f aca="false">Inputs!$C$10*E266*IF(OR(E$263&lt;=Inputs!$C$9,$C$251="renew"),1,IF($C$251="retrofit",IF(E$263-Inputs!$C$9=1,Inputs!$C$48,1),IF($C$251="relet",Inputs!$C$54,Inputs!$C$56)))</f>
        <v>4.1</v>
      </c>
      <c r="F273" s="24" t="n">
        <f aca="false">Inputs!$C$10*F266*IF(OR(F$263&lt;=Inputs!$C$9,$C$251="renew"),1,IF($C$251="retrofit",IF(F$263-Inputs!$C$9=1,Inputs!$C$48,1),IF($C$251="relet",Inputs!$C$54,Inputs!$C$56)))</f>
        <v>4.223</v>
      </c>
      <c r="G273" s="24" t="n">
        <f aca="false">Inputs!$C$10*G266*IF(OR(G$263&lt;=Inputs!$C$9,$C$251="renew"),1,IF($C$251="retrofit",IF(G$263-Inputs!$C$9=1,Inputs!$C$48,1),IF($C$251="relet",Inputs!$C$54,Inputs!$C$56)))</f>
        <v>4.34969</v>
      </c>
      <c r="H273" s="24" t="n">
        <f aca="false">Inputs!$C$10*H266*IF(OR(H$263&lt;=Inputs!$C$9,$C$251="renew"),1,IF($C$251="retrofit",IF(H$263-Inputs!$C$9=1,Inputs!$C$48,1),IF($C$251="relet",Inputs!$C$54,Inputs!$C$56)))</f>
        <v>4.4801807</v>
      </c>
      <c r="I273" s="24" t="n">
        <f aca="false">Inputs!$C$10*I266*IF(OR(I$263&lt;=Inputs!$C$9,$C$251="renew"),1,IF($C$251="retrofit",IF(I$263-Inputs!$C$9=1,Inputs!$C$48,1),IF($C$251="relet",Inputs!$C$54,Inputs!$C$56)))</f>
        <v>4.614586121</v>
      </c>
      <c r="J273" s="24" t="n">
        <f aca="false">Inputs!$C$10*J266*IF(OR(J$263&lt;=Inputs!$C$9,$C$251="renew"),1,IF($C$251="retrofit",IF(J$263-Inputs!$C$9=1,Inputs!$C$48,1),IF($C$251="relet",Inputs!$C$54,Inputs!$C$56)))</f>
        <v>4.75302370463</v>
      </c>
      <c r="K273" s="24" t="n">
        <f aca="false">Inputs!$C$10*K266*IF(OR(K$263&lt;=Inputs!$C$9,$C$251="renew"),1,IF($C$251="retrofit",IF(K$263-Inputs!$C$9=1,Inputs!$C$48,1),IF($C$251="relet",Inputs!$C$54,Inputs!$C$56)))</f>
        <v>4.8956144157689</v>
      </c>
      <c r="L273" s="24" t="n">
        <f aca="false">Inputs!$C$10*L266*IF(OR(L$263&lt;=Inputs!$C$9,$C$251="renew"),1,IF($C$251="retrofit",IF(L$263-Inputs!$C$9=1,Inputs!$C$48,1),IF($C$251="relet",Inputs!$C$54,Inputs!$C$56)))</f>
        <v>5.04248284824197</v>
      </c>
      <c r="M273" s="24" t="n">
        <f aca="false">Inputs!$C$10*M266*IF(OR(M$263&lt;=Inputs!$C$9,$C$251="renew"),1,IF($C$251="retrofit",IF(M$263-Inputs!$C$9=1,Inputs!$C$48,1),IF($C$251="relet",Inputs!$C$54,Inputs!$C$56)))</f>
        <v>5.19375733368923</v>
      </c>
      <c r="N273" s="24" t="n">
        <f aca="false">Inputs!$C$10*N266*IF(OR(N$263&lt;=Inputs!$C$9,$C$251="renew"),1,IF($C$251="retrofit",IF(N$263-Inputs!$C$9=1,Inputs!$C$48,1),IF($C$251="relet",Inputs!$C$54,Inputs!$C$56)))</f>
        <v>5.3495700536999</v>
      </c>
      <c r="O273" s="24" t="n">
        <f aca="false">Inputs!$C$10*O266*IF(OR(O$263&lt;=Inputs!$C$9,$C$251="renew"),1,IF($C$251="retrofit",IF(O$263-Inputs!$C$9=1,Inputs!$C$48,1),IF($C$251="relet",Inputs!$C$54,Inputs!$C$56)))</f>
        <v>5.5100571553109</v>
      </c>
    </row>
    <row r="274" customFormat="false" ht="15" hidden="false" customHeight="false" outlineLevel="0" collapsed="false">
      <c r="B274" s="9" t="s">
        <v>152</v>
      </c>
      <c r="E274" s="24" t="n">
        <f aca="false">IF(E$263&gt;=$C$253,Inputs!$C$30*1000*Inputs!$C$34*12*(1+Inputs!$C$8)^(E$263-$C$253)/1000000*IF(AND(E$263=$C$253,$C$253&gt;Inputs!$C$33),1-MIN(12,Inputs!$C$35*($C$253-Inputs!$C$33)*12)/12,1),0)</f>
        <v>0</v>
      </c>
      <c r="F274" s="24" t="n">
        <f aca="false">IF(F$263&gt;=$C$253,Inputs!$C$30*1000*Inputs!$C$34*12*(1+Inputs!$C$8)^(F$263-$C$253)/1000000*IF(AND(F$263=$C$253,$C$253&gt;Inputs!$C$33),1-MIN(12,Inputs!$C$35*($C$253-Inputs!$C$33)*12)/12,1),0)</f>
        <v>0</v>
      </c>
      <c r="G274" s="24" t="n">
        <f aca="false">IF(G$263&gt;=$C$253,Inputs!$C$30*1000*Inputs!$C$34*12*(1+Inputs!$C$8)^(G$263-$C$253)/1000000*IF(AND(G$263=$C$253,$C$253&gt;Inputs!$C$33),1-MIN(12,Inputs!$C$35*($C$253-Inputs!$C$33)*12)/12,1),0)</f>
        <v>0</v>
      </c>
      <c r="H274" s="24" t="n">
        <f aca="false">IF(H$263&gt;=$C$253,Inputs!$C$30*1000*Inputs!$C$34*12*(1+Inputs!$C$8)^(H$263-$C$253)/1000000*IF(AND(H$263=$C$253,$C$253&gt;Inputs!$C$33),1-MIN(12,Inputs!$C$35*($C$253-Inputs!$C$33)*12)/12,1),0)</f>
        <v>0</v>
      </c>
      <c r="I274" s="24" t="n">
        <f aca="false">IF(I$263&gt;=$C$253,Inputs!$C$30*1000*Inputs!$C$34*12*(1+Inputs!$C$8)^(I$263-$C$253)/1000000*IF(AND(I$263=$C$253,$C$253&gt;Inputs!$C$33),1-MIN(12,Inputs!$C$35*($C$253-Inputs!$C$33)*12)/12,1),0)</f>
        <v>0</v>
      </c>
      <c r="J274" s="24" t="n">
        <f aca="false">IF(J$263&gt;=$C$253,Inputs!$C$30*1000*Inputs!$C$34*12*(1+Inputs!$C$8)^(J$263-$C$253)/1000000*IF(AND(J$263=$C$253,$C$253&gt;Inputs!$C$33),1-MIN(12,Inputs!$C$35*($C$253-Inputs!$C$33)*12)/12,1),0)</f>
        <v>29.76768</v>
      </c>
      <c r="K274" s="24" t="n">
        <f aca="false">IF(K$263&gt;=$C$253,Inputs!$C$30*1000*Inputs!$C$34*12*(1+Inputs!$C$8)^(K$263-$C$253)/1000000*IF(AND(K$263=$C$253,$C$253&gt;Inputs!$C$33),1-MIN(12,Inputs!$C$35*($C$253-Inputs!$C$33)*12)/12,1),0)</f>
        <v>30.3630336</v>
      </c>
      <c r="L274" s="24" t="n">
        <f aca="false">IF(L$263&gt;=$C$253,Inputs!$C$30*1000*Inputs!$C$34*12*(1+Inputs!$C$8)^(L$263-$C$253)/1000000*IF(AND(L$263=$C$253,$C$253&gt;Inputs!$C$33),1-MIN(12,Inputs!$C$35*($C$253-Inputs!$C$33)*12)/12,1),0)</f>
        <v>30.970294272</v>
      </c>
      <c r="M274" s="24" t="n">
        <f aca="false">IF(M$263&gt;=$C$253,Inputs!$C$30*1000*Inputs!$C$34*12*(1+Inputs!$C$8)^(M$263-$C$253)/1000000*IF(AND(M$263=$C$253,$C$253&gt;Inputs!$C$33),1-MIN(12,Inputs!$C$35*($C$253-Inputs!$C$33)*12)/12,1),0)</f>
        <v>31.58970015744</v>
      </c>
      <c r="N274" s="24" t="n">
        <f aca="false">IF(N$263&gt;=$C$253,Inputs!$C$30*1000*Inputs!$C$34*12*(1+Inputs!$C$8)^(N$263-$C$253)/1000000*IF(AND(N$263=$C$253,$C$253&gt;Inputs!$C$33),1-MIN(12,Inputs!$C$35*($C$253-Inputs!$C$33)*12)/12,1),0)</f>
        <v>32.2214941605888</v>
      </c>
      <c r="O274" s="24" t="n">
        <f aca="false">IF(O$263&gt;=$C$253,Inputs!$C$30*1000*Inputs!$C$34*12*(1+Inputs!$C$8)^(O$263-$C$253)/1000000*IF(AND(O$263=$C$253,$C$253&gt;Inputs!$C$33),1-MIN(12,Inputs!$C$35*($C$253-Inputs!$C$33)*12)/12,1),0)</f>
        <v>32.8659240438006</v>
      </c>
    </row>
    <row r="275" customFormat="false" ht="15" hidden="false" customHeight="false" outlineLevel="0" collapsed="false">
      <c r="B275" s="9" t="s">
        <v>153</v>
      </c>
      <c r="E275" s="28" t="n">
        <f aca="false">IF(E$263&gt;=$C$253,Inputs!$C$30*1000*Inputs!$C$16*8760/1000,0)</f>
        <v>0</v>
      </c>
      <c r="F275" s="28" t="n">
        <f aca="false">IF(F$263&gt;=$C$253,Inputs!$C$30*1000*Inputs!$C$16*8760/1000,0)</f>
        <v>0</v>
      </c>
      <c r="G275" s="28" t="n">
        <f aca="false">IF(G$263&gt;=$C$253,Inputs!$C$30*1000*Inputs!$C$16*8760/1000,0)</f>
        <v>0</v>
      </c>
      <c r="H275" s="28" t="n">
        <f aca="false">IF(H$263&gt;=$C$253,Inputs!$C$30*1000*Inputs!$C$16*8760/1000,0)</f>
        <v>0</v>
      </c>
      <c r="I275" s="28" t="n">
        <f aca="false">IF(I$263&gt;=$C$253,Inputs!$C$30*1000*Inputs!$C$16*8760/1000,0)</f>
        <v>112128</v>
      </c>
      <c r="J275" s="28" t="n">
        <f aca="false">IF(J$263&gt;=$C$253,Inputs!$C$30*1000*Inputs!$C$16*8760/1000,0)</f>
        <v>112128</v>
      </c>
      <c r="K275" s="28" t="n">
        <f aca="false">IF(K$263&gt;=$C$253,Inputs!$C$30*1000*Inputs!$C$16*8760/1000,0)</f>
        <v>112128</v>
      </c>
      <c r="L275" s="28" t="n">
        <f aca="false">IF(L$263&gt;=$C$253,Inputs!$C$30*1000*Inputs!$C$16*8760/1000,0)</f>
        <v>112128</v>
      </c>
      <c r="M275" s="28" t="n">
        <f aca="false">IF(M$263&gt;=$C$253,Inputs!$C$30*1000*Inputs!$C$16*8760/1000,0)</f>
        <v>112128</v>
      </c>
      <c r="N275" s="28" t="n">
        <f aca="false">IF(N$263&gt;=$C$253,Inputs!$C$30*1000*Inputs!$C$16*8760/1000,0)</f>
        <v>112128</v>
      </c>
      <c r="O275" s="28" t="n">
        <f aca="false">IF(O$263&gt;=$C$253,Inputs!$C$30*1000*Inputs!$C$16*8760/1000,0)</f>
        <v>112128</v>
      </c>
    </row>
    <row r="276" customFormat="false" ht="15" hidden="false" customHeight="false" outlineLevel="0" collapsed="false">
      <c r="B276" s="9" t="s">
        <v>154</v>
      </c>
      <c r="E276" s="24" t="n">
        <f aca="false">E275*Inputs!$C$37*Inputs!$C$27/1000000</f>
        <v>0</v>
      </c>
      <c r="F276" s="24" t="n">
        <f aca="false">F275*Inputs!$C$37*Inputs!$C$27/1000000</f>
        <v>0</v>
      </c>
      <c r="G276" s="24" t="n">
        <f aca="false">G275*Inputs!$C$37*Inputs!$C$27/1000000</f>
        <v>0</v>
      </c>
      <c r="H276" s="24" t="n">
        <f aca="false">H275*Inputs!$C$37*Inputs!$C$27/1000000</f>
        <v>0</v>
      </c>
      <c r="I276" s="24" t="n">
        <f aca="false">I275*Inputs!$C$37*Inputs!$C$27/1000000</f>
        <v>0.4036608</v>
      </c>
      <c r="J276" s="24" t="n">
        <f aca="false">J275*Inputs!$C$37*Inputs!$C$27/1000000</f>
        <v>0.4036608</v>
      </c>
      <c r="K276" s="24" t="n">
        <f aca="false">K275*Inputs!$C$37*Inputs!$C$27/1000000</f>
        <v>0.4036608</v>
      </c>
      <c r="L276" s="24" t="n">
        <f aca="false">L275*Inputs!$C$37*Inputs!$C$27/1000000</f>
        <v>0.4036608</v>
      </c>
      <c r="M276" s="24" t="n">
        <f aca="false">M275*Inputs!$C$37*Inputs!$C$27/1000000</f>
        <v>0.4036608</v>
      </c>
      <c r="N276" s="24" t="n">
        <f aca="false">N275*Inputs!$C$37*Inputs!$C$27/1000000</f>
        <v>0.4036608</v>
      </c>
      <c r="O276" s="24" t="n">
        <f aca="false">O275*Inputs!$C$37*Inputs!$C$27/1000000</f>
        <v>0.4036608</v>
      </c>
    </row>
    <row r="277" customFormat="false" ht="15" hidden="false" customHeight="false" outlineLevel="0" collapsed="false">
      <c r="B277" s="9" t="s">
        <v>155</v>
      </c>
      <c r="E277" s="24" t="n">
        <f aca="false">IF(E$263&gt;=$C$253,Inputs!$C$38*E266,0)</f>
        <v>0</v>
      </c>
      <c r="F277" s="24" t="n">
        <f aca="false">IF(F$263&gt;=$C$253,Inputs!$C$38*F266,0)</f>
        <v>0</v>
      </c>
      <c r="G277" s="24" t="n">
        <f aca="false">IF(G$263&gt;=$C$253,Inputs!$C$38*G266,0)</f>
        <v>0</v>
      </c>
      <c r="H277" s="24" t="n">
        <f aca="false">IF(H$263&gt;=$C$253,Inputs!$C$38*H266,0)</f>
        <v>0</v>
      </c>
      <c r="I277" s="24" t="n">
        <f aca="false">IF(I$263&gt;=$C$253,Inputs!$C$38*I266,0)</f>
        <v>1.800814096</v>
      </c>
      <c r="J277" s="24" t="n">
        <f aca="false">IF(J$263&gt;=$C$253,Inputs!$C$38*J266,0)</f>
        <v>1.85483851888</v>
      </c>
      <c r="K277" s="24" t="n">
        <f aca="false">IF(K$263&gt;=$C$253,Inputs!$C$38*K266,0)</f>
        <v>1.9104836744464</v>
      </c>
      <c r="L277" s="24" t="n">
        <f aca="false">IF(L$263&gt;=$C$253,Inputs!$C$38*L266,0)</f>
        <v>1.96779818467979</v>
      </c>
      <c r="M277" s="24" t="n">
        <f aca="false">IF(M$263&gt;=$C$253,Inputs!$C$38*M266,0)</f>
        <v>2.02683213022019</v>
      </c>
      <c r="N277" s="24" t="n">
        <f aca="false">IF(N$263&gt;=$C$253,Inputs!$C$38*N266,0)</f>
        <v>2.08763709412679</v>
      </c>
      <c r="O277" s="24" t="n">
        <f aca="false">IF(O$263&gt;=$C$253,Inputs!$C$38*O266,0)</f>
        <v>2.1502662069506</v>
      </c>
    </row>
    <row r="278" customFormat="false" ht="15" hidden="false" customHeight="false" outlineLevel="0" collapsed="false">
      <c r="B278" s="9" t="s">
        <v>156</v>
      </c>
      <c r="E278" s="24" t="n">
        <f aca="false">Inputs!$C$12*(E271+E274)</f>
        <v>0.52992</v>
      </c>
      <c r="F278" s="24" t="n">
        <f aca="false">Inputs!$C$12*(F271+F274)</f>
        <v>0.5405184</v>
      </c>
      <c r="G278" s="24" t="n">
        <f aca="false">Inputs!$C$12*(G271+G274)</f>
        <v>0.551328768</v>
      </c>
      <c r="H278" s="24" t="n">
        <f aca="false">Inputs!$C$12*(H271+H274)</f>
        <v>0.56235534336</v>
      </c>
      <c r="I278" s="24" t="n">
        <f aca="false">Inputs!$C$12*(I271+I274)</f>
        <v>0.5736024502272</v>
      </c>
      <c r="J278" s="24" t="n">
        <f aca="false">Inputs!$C$12*(J271+J274)</f>
        <v>0.882751299231744</v>
      </c>
      <c r="K278" s="24" t="n">
        <f aca="false">Inputs!$C$12*(K271+K274)</f>
        <v>0.900406325216379</v>
      </c>
      <c r="L278" s="24" t="n">
        <f aca="false">Inputs!$C$12*(L271+L274)</f>
        <v>0.918414451720707</v>
      </c>
      <c r="M278" s="24" t="n">
        <f aca="false">Inputs!$C$12*(M271+M274)</f>
        <v>0.863737359675036</v>
      </c>
      <c r="N278" s="24" t="n">
        <f aca="false">Inputs!$C$12*(N271+N274)</f>
        <v>0.881012106868537</v>
      </c>
      <c r="O278" s="24" t="n">
        <f aca="false">Inputs!$C$12*(O271+O274)</f>
        <v>0.898632349005907</v>
      </c>
    </row>
    <row r="279" customFormat="false" ht="15" hidden="false" customHeight="false" outlineLevel="0" collapsed="false">
      <c r="B279" s="29" t="s">
        <v>157</v>
      </c>
      <c r="E279" s="30" t="n">
        <f aca="false">E271+E272+E274+E276-E273-E277-E278</f>
        <v>50.7840448</v>
      </c>
      <c r="F279" s="30" t="n">
        <f aca="false">F271+F272+F274+F276-F273-F277-F278</f>
        <v>52.141754944</v>
      </c>
      <c r="G279" s="30" t="n">
        <f aca="false">G271+G272+G274+G276-G273-G277-G278</f>
        <v>53.52538929088</v>
      </c>
      <c r="H279" s="30" t="n">
        <f aca="false">H271+H272+H274+H276-H273-H277-H278</f>
        <v>54.9354294246976</v>
      </c>
      <c r="I279" s="30" t="n">
        <f aca="false">I271+I272+I274+I276-I273-I277-I278</f>
        <v>53.0914617581916</v>
      </c>
      <c r="J279" s="30" t="n">
        <f aca="false">J271+J272+J274+J276-J273-J277-J278</f>
        <v>83.4458909111854</v>
      </c>
      <c r="K279" s="30" t="n">
        <f aca="false">K271+K272+K274+K276-K273-K277-K278</f>
        <v>84.932851425574</v>
      </c>
      <c r="L279" s="30" t="n">
        <f aca="false">L271+L272+L274+L276-L273-L277-L278</f>
        <v>86.4448736549433</v>
      </c>
      <c r="M279" s="30" t="n">
        <f aca="false">M271+M272+M274+M276-M273-M277-M278</f>
        <v>80.7508392574886</v>
      </c>
      <c r="N279" s="30" t="n">
        <f aca="false">N271+N272+N274+N276-N273-N277-N278</f>
        <v>82.1694822367709</v>
      </c>
      <c r="O279" s="30" t="n">
        <f aca="false">O271+O272+O274+O276-O273-O277-O278</f>
        <v>83.6114295314189</v>
      </c>
    </row>
    <row r="280" customFormat="false" ht="15" hidden="false" customHeight="false" outlineLevel="0" collapsed="false">
      <c r="B280" s="9" t="s">
        <v>158</v>
      </c>
      <c r="E280" s="24" t="n">
        <f aca="false">Inputs!$C$13*E266*IF(AND($C$251="stranded",E$263&gt;Inputs!$C$9),Inputs!$C$56,1)+IF(E$263&gt;=$C$253,Inputs!$C$39*E266,0)</f>
        <v>1.3</v>
      </c>
      <c r="F280" s="24" t="n">
        <f aca="false">Inputs!$C$13*F266*IF(AND($C$251="stranded",F$263&gt;Inputs!$C$9),Inputs!$C$56,1)+IF(F$263&gt;=$C$253,Inputs!$C$39*F266,0)</f>
        <v>1.339</v>
      </c>
      <c r="G280" s="24" t="n">
        <f aca="false">Inputs!$C$13*G266*IF(AND($C$251="stranded",G$263&gt;Inputs!$C$9),Inputs!$C$56,1)+IF(G$263&gt;=$C$253,Inputs!$C$39*G266,0)</f>
        <v>1.37917</v>
      </c>
      <c r="H280" s="24" t="n">
        <f aca="false">Inputs!$C$13*H266*IF(AND($C$251="stranded",H$263&gt;Inputs!$C$9),Inputs!$C$56,1)+IF(H$263&gt;=$C$253,Inputs!$C$39*H266,0)</f>
        <v>1.4205451</v>
      </c>
      <c r="I280" s="24" t="n">
        <f aca="false">Inputs!$C$13*I266*IF(AND($C$251="stranded",I$263&gt;Inputs!$C$9),Inputs!$C$56,1)+IF(I$263&gt;=$C$253,Inputs!$C$39*I266,0)</f>
        <v>2.025915858</v>
      </c>
      <c r="J280" s="24" t="n">
        <f aca="false">Inputs!$C$13*J266*IF(AND($C$251="stranded",J$263&gt;Inputs!$C$9),Inputs!$C$56,1)+IF(J$263&gt;=$C$253,Inputs!$C$39*J266,0)</f>
        <v>2.08669333374</v>
      </c>
      <c r="K280" s="24" t="n">
        <f aca="false">Inputs!$C$13*K266*IF(AND($C$251="stranded",K$263&gt;Inputs!$C$9),Inputs!$C$56,1)+IF(K$263&gt;=$C$253,Inputs!$C$39*K266,0)</f>
        <v>2.1492941337522</v>
      </c>
      <c r="L280" s="24" t="n">
        <f aca="false">Inputs!$C$13*L266*IF(AND($C$251="stranded",L$263&gt;Inputs!$C$9),Inputs!$C$56,1)+IF(L$263&gt;=$C$253,Inputs!$C$39*L266,0)</f>
        <v>2.21377295776477</v>
      </c>
      <c r="M280" s="24" t="n">
        <f aca="false">Inputs!$C$13*M266*IF(AND($C$251="stranded",M$263&gt;Inputs!$C$9),Inputs!$C$56,1)+IF(M$263&gt;=$C$253,Inputs!$C$39*M266,0)</f>
        <v>2.28018614649771</v>
      </c>
      <c r="N280" s="24" t="n">
        <f aca="false">Inputs!$C$13*N266*IF(AND($C$251="stranded",N$263&gt;Inputs!$C$9),Inputs!$C$56,1)+IF(N$263&gt;=$C$253,Inputs!$C$39*N266,0)</f>
        <v>2.34859173089264</v>
      </c>
      <c r="O280" s="24" t="n">
        <f aca="false">Inputs!$C$13*O266*IF(AND($C$251="stranded",O$263&gt;Inputs!$C$9),Inputs!$C$56,1)+IF(O$263&gt;=$C$253,Inputs!$C$39*O266,0)</f>
        <v>2.41904948281942</v>
      </c>
    </row>
    <row r="281" customFormat="false" ht="15" hidden="false" customHeight="false" outlineLevel="0" collapsed="false">
      <c r="B281" s="9" t="s">
        <v>159</v>
      </c>
      <c r="E281" s="24" t="n">
        <f aca="false">IF(OR(E$263=1,E$263=2),Inputs!$C$31*Inputs!$C$30/2,0)+IF(AND(E$263=2,$C$253&gt;Inputs!$C$33),Inputs!$C$31*Inputs!$C$30*Inputs!$C$36*($C$253-Inputs!$C$33),0)</f>
        <v>84</v>
      </c>
      <c r="F281" s="24" t="n">
        <f aca="false">IF(OR(F$263=1,F$263=2),Inputs!$C$31*Inputs!$C$30/2,0)+IF(AND(F$263=2,$C$253&gt;Inputs!$C$33),Inputs!$C$31*Inputs!$C$30*Inputs!$C$36*($C$253-Inputs!$C$33),0)</f>
        <v>97.44</v>
      </c>
      <c r="G281" s="24" t="n">
        <f aca="false">IF(OR(G$263=1,G$263=2),Inputs!$C$31*Inputs!$C$30/2,0)+IF(AND(G$263=2,$C$253&gt;Inputs!$C$33),Inputs!$C$31*Inputs!$C$30*Inputs!$C$36*($C$253-Inputs!$C$33),0)</f>
        <v>0</v>
      </c>
      <c r="H281" s="24" t="n">
        <f aca="false">IF(OR(H$263=1,H$263=2),Inputs!$C$31*Inputs!$C$30/2,0)+IF(AND(H$263=2,$C$253&gt;Inputs!$C$33),Inputs!$C$31*Inputs!$C$30*Inputs!$C$36*($C$253-Inputs!$C$33),0)</f>
        <v>0</v>
      </c>
      <c r="I281" s="24" t="n">
        <f aca="false">IF(OR(I$263=1,I$263=2),Inputs!$C$31*Inputs!$C$30/2,0)+IF(AND(I$263=2,$C$253&gt;Inputs!$C$33),Inputs!$C$31*Inputs!$C$30*Inputs!$C$36*($C$253-Inputs!$C$33),0)</f>
        <v>0</v>
      </c>
      <c r="J281" s="24" t="n">
        <f aca="false">IF(OR(J$263=1,J$263=2),Inputs!$C$31*Inputs!$C$30/2,0)+IF(AND(J$263=2,$C$253&gt;Inputs!$C$33),Inputs!$C$31*Inputs!$C$30*Inputs!$C$36*($C$253-Inputs!$C$33),0)</f>
        <v>0</v>
      </c>
      <c r="K281" s="24" t="n">
        <f aca="false">IF(OR(K$263=1,K$263=2),Inputs!$C$31*Inputs!$C$30/2,0)+IF(AND(K$263=2,$C$253&gt;Inputs!$C$33),Inputs!$C$31*Inputs!$C$30*Inputs!$C$36*($C$253-Inputs!$C$33),0)</f>
        <v>0</v>
      </c>
      <c r="L281" s="24" t="n">
        <f aca="false">IF(OR(L$263=1,L$263=2),Inputs!$C$31*Inputs!$C$30/2,0)+IF(AND(L$263=2,$C$253&gt;Inputs!$C$33),Inputs!$C$31*Inputs!$C$30*Inputs!$C$36*($C$253-Inputs!$C$33),0)</f>
        <v>0</v>
      </c>
      <c r="M281" s="24" t="n">
        <f aca="false">IF(OR(M$263=1,M$263=2),Inputs!$C$31*Inputs!$C$30/2,0)+IF(AND(M$263=2,$C$253&gt;Inputs!$C$33),Inputs!$C$31*Inputs!$C$30*Inputs!$C$36*($C$253-Inputs!$C$33),0)</f>
        <v>0</v>
      </c>
      <c r="N281" s="24" t="n">
        <f aca="false">IF(OR(N$263=1,N$263=2),Inputs!$C$31*Inputs!$C$30/2,0)+IF(AND(N$263=2,$C$253&gt;Inputs!$C$33),Inputs!$C$31*Inputs!$C$30*Inputs!$C$36*($C$253-Inputs!$C$33),0)</f>
        <v>0</v>
      </c>
      <c r="O281" s="24" t="n">
        <f aca="false">IF(OR(O$263=1,O$263=2),Inputs!$C$31*Inputs!$C$30/2,0)+IF(AND(O$263=2,$C$253&gt;Inputs!$C$33),Inputs!$C$31*Inputs!$C$30*Inputs!$C$36*($C$253-Inputs!$C$33),0)</f>
        <v>0</v>
      </c>
    </row>
    <row r="282" customFormat="false" ht="15" hidden="false" customHeight="false" outlineLevel="0" collapsed="false">
      <c r="B282" s="9" t="s">
        <v>160</v>
      </c>
      <c r="E282" s="24" t="n">
        <f aca="false">IF(E$263=Inputs!$C$9+1,Inputs!$C$6*IF($C$251="renew",Inputs!$C$44,IF($C$251="retrofit",Inputs!$C$45,IF($C$251="relet",Inputs!$C$55,0))),0)</f>
        <v>0</v>
      </c>
      <c r="F282" s="24" t="n">
        <f aca="false">IF(F$263=Inputs!$C$9+1,Inputs!$C$6*IF($C$251="renew",Inputs!$C$44,IF($C$251="retrofit",Inputs!$C$45,IF($C$251="relet",Inputs!$C$55,0))),0)</f>
        <v>0</v>
      </c>
      <c r="G282" s="24" t="n">
        <f aca="false">IF(G$263=Inputs!$C$9+1,Inputs!$C$6*IF($C$251="renew",Inputs!$C$44,IF($C$251="retrofit",Inputs!$C$45,IF($C$251="relet",Inputs!$C$55,0))),0)</f>
        <v>0</v>
      </c>
      <c r="H282" s="24" t="n">
        <f aca="false">IF(H$263=Inputs!$C$9+1,Inputs!$C$6*IF($C$251="renew",Inputs!$C$44,IF($C$251="retrofit",Inputs!$C$45,IF($C$251="relet",Inputs!$C$55,0))),0)</f>
        <v>0</v>
      </c>
      <c r="I282" s="24" t="n">
        <f aca="false">IF(I$263=Inputs!$C$9+1,Inputs!$C$6*IF($C$251="renew",Inputs!$C$44,IF($C$251="retrofit",Inputs!$C$45,IF($C$251="relet",Inputs!$C$55,0))),0)</f>
        <v>0</v>
      </c>
      <c r="J282" s="24" t="n">
        <f aca="false">IF(J$263=Inputs!$C$9+1,Inputs!$C$6*IF($C$251="renew",Inputs!$C$44,IF($C$251="retrofit",Inputs!$C$45,IF($C$251="relet",Inputs!$C$55,0))),0)</f>
        <v>0</v>
      </c>
      <c r="K282" s="24" t="n">
        <f aca="false">IF(K$263=Inputs!$C$9+1,Inputs!$C$6*IF($C$251="renew",Inputs!$C$44,IF($C$251="retrofit",Inputs!$C$45,IF($C$251="relet",Inputs!$C$55,0))),0)</f>
        <v>0</v>
      </c>
      <c r="L282" s="24" t="n">
        <f aca="false">IF(L$263=Inputs!$C$9+1,Inputs!$C$6*IF($C$251="renew",Inputs!$C$44,IF($C$251="retrofit",Inputs!$C$45,IF($C$251="relet",Inputs!$C$55,0))),0)</f>
        <v>0</v>
      </c>
      <c r="M282" s="24" t="n">
        <f aca="false">IF(M$263=Inputs!$C$9+1,Inputs!$C$6*IF($C$251="renew",Inputs!$C$44,IF($C$251="retrofit",Inputs!$C$45,IF($C$251="relet",Inputs!$C$55,0))),0)</f>
        <v>12.8</v>
      </c>
      <c r="N282" s="24" t="n">
        <f aca="false">IF(N$263=Inputs!$C$9+1,Inputs!$C$6*IF($C$251="renew",Inputs!$C$44,IF($C$251="retrofit",Inputs!$C$45,IF($C$251="relet",Inputs!$C$55,0))),0)</f>
        <v>0</v>
      </c>
      <c r="O282" s="24" t="n">
        <f aca="false">IF(O$263=Inputs!$C$9+1,Inputs!$C$6*IF($C$251="renew",Inputs!$C$44,IF($C$251="retrofit",Inputs!$C$45,IF($C$251="relet",Inputs!$C$55,0))),0)</f>
        <v>0</v>
      </c>
    </row>
    <row r="283" customFormat="false" ht="15" hidden="false" customHeight="false" outlineLevel="0" collapsed="false">
      <c r="B283" s="29" t="s">
        <v>161</v>
      </c>
      <c r="E283" s="30" t="n">
        <f aca="false">E279-E280-E281-E282</f>
        <v>-34.5159552</v>
      </c>
      <c r="F283" s="30" t="n">
        <f aca="false">F279-F280-F281-F282</f>
        <v>-46.637245056</v>
      </c>
      <c r="G283" s="30" t="n">
        <f aca="false">G279-G280-G281-G282</f>
        <v>52.14621929088</v>
      </c>
      <c r="H283" s="30" t="n">
        <f aca="false">H279-H280-H281-H282</f>
        <v>53.5148843246976</v>
      </c>
      <c r="I283" s="30" t="n">
        <f aca="false">I279-I280-I281-I282</f>
        <v>51.0655459001916</v>
      </c>
      <c r="J283" s="30" t="n">
        <f aca="false">J279-J280-J281-J282</f>
        <v>81.3591975774454</v>
      </c>
      <c r="K283" s="30" t="n">
        <f aca="false">K279-K280-K281-K282</f>
        <v>82.7835572918218</v>
      </c>
      <c r="L283" s="30" t="n">
        <f aca="false">L279-L280-L281-L282</f>
        <v>84.2311006971786</v>
      </c>
      <c r="M283" s="30" t="n">
        <f aca="false">M279-M280-M281-M282</f>
        <v>65.6706531109909</v>
      </c>
      <c r="N283" s="30" t="n">
        <f aca="false">N279-N280-N281-N282</f>
        <v>79.8208905058782</v>
      </c>
      <c r="O283" s="30" t="n">
        <f aca="false">O279-O280-O281-O282</f>
        <v>81.1923800485995</v>
      </c>
    </row>
    <row r="284" customFormat="false" ht="15" hidden="false" customHeight="false" outlineLevel="0" collapsed="false">
      <c r="B284" s="6" t="s">
        <v>162</v>
      </c>
    </row>
    <row r="286" customFormat="false" ht="15" hidden="false" customHeight="false" outlineLevel="0" collapsed="false">
      <c r="B286" s="9" t="s">
        <v>163</v>
      </c>
      <c r="C286" s="23" t="n">
        <f aca="false">IF($C$251="renew",Inputs!$C$67,IF($C$251="retrofit",Inputs!$C$68,IF($C$251="relet",Inputs!$C$69,Inputs!$C$70)))+$C$257</f>
        <v>0.0625</v>
      </c>
    </row>
    <row r="287" customFormat="false" ht="15" hidden="false" customHeight="false" outlineLevel="0" collapsed="false">
      <c r="B287" s="9" t="s">
        <v>164</v>
      </c>
      <c r="C287" s="24" t="n">
        <f aca="false">O274+O276-O277-Inputs!$C$12*O274</f>
        <v>30.790659396412</v>
      </c>
    </row>
    <row r="288" customFormat="false" ht="15" hidden="false" customHeight="false" outlineLevel="0" collapsed="false">
      <c r="B288" s="9" t="s">
        <v>165</v>
      </c>
      <c r="C288" s="24" t="n">
        <f aca="false">O279-$C$287</f>
        <v>52.8207701350069</v>
      </c>
    </row>
    <row r="289" customFormat="false" ht="15" hidden="false" customHeight="false" outlineLevel="0" collapsed="false">
      <c r="B289" s="9" t="s">
        <v>166</v>
      </c>
      <c r="C289" s="24" t="n">
        <f aca="false">IF($C$251="stranded",Inputs!$C$57*Inputs!$C$6-Inputs!$C$58,0)</f>
        <v>0</v>
      </c>
    </row>
    <row r="290" customFormat="false" ht="15" hidden="false" customHeight="false" outlineLevel="0" collapsed="false">
      <c r="B290" s="9" t="s">
        <v>167</v>
      </c>
      <c r="C290" s="24" t="n">
        <f aca="false">($C$287+$C$288)/$C$286+$C$289</f>
        <v>1337.7828725027</v>
      </c>
    </row>
    <row r="291" customFormat="false" ht="15" hidden="false" customHeight="false" outlineLevel="0" collapsed="false">
      <c r="B291" s="29" t="s">
        <v>168</v>
      </c>
      <c r="C291" s="30" t="n">
        <f aca="false">$C$290*(1-Inputs!$C$66)</f>
        <v>1317.71612941516</v>
      </c>
    </row>
    <row r="292" customFormat="false" ht="15" hidden="false" customHeight="false" outlineLevel="0" collapsed="false">
      <c r="B292" s="9" t="s">
        <v>169</v>
      </c>
      <c r="C292" s="24" t="n">
        <f aca="false">$C$261*(1+Inputs!$C$65)</f>
        <v>918</v>
      </c>
    </row>
    <row r="294" customFormat="false" ht="15" hidden="false" customHeight="false" outlineLevel="0" collapsed="false">
      <c r="B294" s="25" t="s">
        <v>170</v>
      </c>
      <c r="C294" s="26"/>
      <c r="D294" s="26" t="n">
        <v>0</v>
      </c>
      <c r="E294" s="26" t="n">
        <v>1</v>
      </c>
      <c r="F294" s="26" t="n">
        <v>2</v>
      </c>
      <c r="G294" s="26" t="n">
        <v>3</v>
      </c>
      <c r="H294" s="26" t="n">
        <v>4</v>
      </c>
      <c r="I294" s="26" t="n">
        <v>5</v>
      </c>
      <c r="J294" s="26" t="n">
        <v>6</v>
      </c>
      <c r="K294" s="26" t="n">
        <v>7</v>
      </c>
      <c r="L294" s="26" t="n">
        <v>8</v>
      </c>
      <c r="M294" s="26" t="n">
        <v>9</v>
      </c>
      <c r="N294" s="26" t="n">
        <v>10</v>
      </c>
    </row>
    <row r="295" customFormat="false" ht="15" hidden="false" customHeight="false" outlineLevel="0" collapsed="false">
      <c r="B295" s="29" t="s">
        <v>171</v>
      </c>
      <c r="D295" s="30" t="n">
        <f aca="false">-$C$292</f>
        <v>-918</v>
      </c>
      <c r="E295" s="30" t="n">
        <f aca="false">E283</f>
        <v>-34.5159552</v>
      </c>
      <c r="F295" s="30" t="n">
        <f aca="false">F283</f>
        <v>-46.637245056</v>
      </c>
      <c r="G295" s="30" t="n">
        <f aca="false">G283</f>
        <v>52.14621929088</v>
      </c>
      <c r="H295" s="30" t="n">
        <f aca="false">H283</f>
        <v>53.5148843246976</v>
      </c>
      <c r="I295" s="30" t="n">
        <f aca="false">I283</f>
        <v>51.0655459001916</v>
      </c>
      <c r="J295" s="30" t="n">
        <f aca="false">J283</f>
        <v>81.3591975774454</v>
      </c>
      <c r="K295" s="30" t="n">
        <f aca="false">K283</f>
        <v>82.7835572918218</v>
      </c>
      <c r="L295" s="30" t="n">
        <f aca="false">L283</f>
        <v>84.2311006971786</v>
      </c>
      <c r="M295" s="30" t="n">
        <f aca="false">M283</f>
        <v>65.6706531109909</v>
      </c>
      <c r="N295" s="30" t="n">
        <f aca="false">N283+$C$291</f>
        <v>1397.53701992104</v>
      </c>
    </row>
    <row r="296" customFormat="false" ht="15" hidden="false" customHeight="false" outlineLevel="0" collapsed="false">
      <c r="B296" s="29" t="s">
        <v>172</v>
      </c>
      <c r="C296" s="31" t="n">
        <f aca="false">IRR(D295:N295,0.08)</f>
        <v>0.0736563249962487</v>
      </c>
    </row>
    <row r="299" customFormat="false" ht="15" hidden="false" customHeight="false" outlineLevel="0" collapsed="false">
      <c r="B299" s="7" t="s">
        <v>230</v>
      </c>
      <c r="C299" s="8"/>
      <c r="D299" s="8"/>
      <c r="E299" s="8"/>
      <c r="F299" s="8"/>
      <c r="G299" s="8"/>
      <c r="H299" s="8"/>
      <c r="I299" s="8"/>
      <c r="J299" s="8"/>
      <c r="K299" s="8"/>
      <c r="L299" s="8"/>
      <c r="M299" s="8"/>
      <c r="N299" s="8"/>
      <c r="O299" s="8"/>
    </row>
    <row r="300" customFormat="false" ht="15" hidden="false" customHeight="false" outlineLevel="0" collapsed="false">
      <c r="B300" s="9" t="s">
        <v>130</v>
      </c>
      <c r="C300" s="16" t="s">
        <v>226</v>
      </c>
    </row>
    <row r="301" customFormat="false" ht="15" hidden="false" customHeight="false" outlineLevel="0" collapsed="false">
      <c r="B301" s="9" t="s">
        <v>131</v>
      </c>
      <c r="C301" s="19" t="n">
        <f aca="false">Inputs!$C$25</f>
        <v>0</v>
      </c>
    </row>
    <row r="302" customFormat="false" ht="15" hidden="false" customHeight="false" outlineLevel="0" collapsed="false">
      <c r="B302" s="9" t="s">
        <v>132</v>
      </c>
      <c r="C302" s="20" t="n">
        <f aca="false">Inputs!$C$32</f>
        <v>3</v>
      </c>
    </row>
    <row r="303" customFormat="false" ht="15" hidden="false" customHeight="false" outlineLevel="0" collapsed="false">
      <c r="B303" s="9" t="s">
        <v>133</v>
      </c>
      <c r="C303" s="20" t="n">
        <f aca="false">Inputs!$C$59</f>
        <v>5</v>
      </c>
    </row>
    <row r="304" customFormat="false" ht="15" hidden="false" customHeight="false" outlineLevel="0" collapsed="false">
      <c r="B304" s="9" t="s">
        <v>134</v>
      </c>
      <c r="C304" s="21" t="n">
        <f aca="false">Inputs!$C$60</f>
        <v>0.45</v>
      </c>
    </row>
    <row r="305" customFormat="false" ht="15" hidden="false" customHeight="false" outlineLevel="0" collapsed="false">
      <c r="B305" s="9" t="s">
        <v>135</v>
      </c>
      <c r="C305" s="22" t="n">
        <f aca="false">Inputs!$C$61</f>
        <v>1.55</v>
      </c>
    </row>
    <row r="306" customFormat="false" ht="15" hidden="false" customHeight="false" outlineLevel="0" collapsed="false">
      <c r="B306" s="9" t="s">
        <v>136</v>
      </c>
      <c r="C306" s="23" t="n">
        <f aca="false">Inputs!$C$71</f>
        <v>0</v>
      </c>
    </row>
    <row r="307" customFormat="false" ht="15" hidden="false" customHeight="false" outlineLevel="0" collapsed="false">
      <c r="B307" s="9" t="s">
        <v>30</v>
      </c>
      <c r="C307" s="22" t="n">
        <f aca="false">Inputs!$C$18</f>
        <v>1.4</v>
      </c>
    </row>
    <row r="308" customFormat="false" ht="15" hidden="false" customHeight="false" outlineLevel="0" collapsed="false">
      <c r="B308" s="9" t="s">
        <v>137</v>
      </c>
      <c r="C308" s="19" t="n">
        <f aca="false">Inputs!$C$43</f>
        <v>0.9</v>
      </c>
    </row>
    <row r="309" customFormat="false" ht="15" hidden="false" customHeight="false" outlineLevel="0" collapsed="false">
      <c r="B309" s="9" t="s">
        <v>138</v>
      </c>
      <c r="C309" s="24" t="n">
        <f aca="false">Inputs!$C$49</f>
        <v>120</v>
      </c>
    </row>
    <row r="310" customFormat="false" ht="15" hidden="false" customHeight="false" outlineLevel="0" collapsed="false">
      <c r="B310" s="9" t="s">
        <v>139</v>
      </c>
      <c r="C310" s="24" t="n">
        <f aca="false">Inputs!$C$64</f>
        <v>900</v>
      </c>
    </row>
    <row r="311" customFormat="false" ht="15" hidden="false" customHeight="false" outlineLevel="0" collapsed="false">
      <c r="B311" s="9" t="s">
        <v>140</v>
      </c>
      <c r="C311" s="24" t="n">
        <f aca="false">Inputs!$C$6*1000*Inputs!$C$7*12*(1+Inputs!$C$8)^(Inputs!$C$9-1)/1000000</f>
        <v>60.8711509000706</v>
      </c>
    </row>
    <row r="312" customFormat="false" ht="15" hidden="false" customHeight="false" outlineLevel="0" collapsed="false">
      <c r="B312" s="25" t="s">
        <v>141</v>
      </c>
      <c r="C312" s="26"/>
      <c r="E312" s="26" t="n">
        <v>1</v>
      </c>
      <c r="F312" s="26" t="n">
        <v>2</v>
      </c>
      <c r="G312" s="26" t="n">
        <v>3</v>
      </c>
      <c r="H312" s="26" t="n">
        <v>4</v>
      </c>
      <c r="I312" s="26" t="n">
        <v>5</v>
      </c>
      <c r="J312" s="26" t="n">
        <v>6</v>
      </c>
      <c r="K312" s="26" t="n">
        <v>7</v>
      </c>
      <c r="L312" s="26" t="n">
        <v>8</v>
      </c>
      <c r="M312" s="26" t="n">
        <v>9</v>
      </c>
      <c r="N312" s="26" t="n">
        <v>10</v>
      </c>
      <c r="O312" s="26" t="n">
        <v>11</v>
      </c>
    </row>
    <row r="313" customFormat="false" ht="15" hidden="false" customHeight="false" outlineLevel="0" collapsed="false">
      <c r="B313" s="9" t="s">
        <v>142</v>
      </c>
      <c r="E313" s="24" t="n">
        <f aca="false">IF(E$312&lt;=Inputs!$C$22,Inputs!$C$21,Inputs!$C$23*(1+Inputs!$C$24)^(E$312-5)*IF(AND($C$301&lt;&gt;0,E$312&gt;=Inputs!$C$26),1+$C$301,1))</f>
        <v>61</v>
      </c>
      <c r="F313" s="24" t="n">
        <f aca="false">IF(F$312&lt;=Inputs!$C$22,Inputs!$C$21,Inputs!$C$23*(1+Inputs!$C$24)^(F$312-5)*IF(AND($C$301&lt;&gt;0,F$312&gt;=Inputs!$C$26),1+$C$301,1))</f>
        <v>61</v>
      </c>
      <c r="G313" s="24" t="n">
        <f aca="false">IF(G$312&lt;=Inputs!$C$22,Inputs!$C$21,Inputs!$C$23*(1+Inputs!$C$24)^(G$312-5)*IF(AND($C$301&lt;&gt;0,G$312&gt;=Inputs!$C$26),1+$C$301,1))</f>
        <v>61</v>
      </c>
      <c r="H313" s="24" t="n">
        <f aca="false">IF(H$312&lt;=Inputs!$C$22,Inputs!$C$21,Inputs!$C$23*(1+Inputs!$C$24)^(H$312-5)*IF(AND($C$301&lt;&gt;0,H$312&gt;=Inputs!$C$26),1+$C$301,1))</f>
        <v>61</v>
      </c>
      <c r="I313" s="24" t="n">
        <f aca="false">IF(I$312&lt;=Inputs!$C$22,Inputs!$C$21,Inputs!$C$23*(1+Inputs!$C$24)^(I$312-5)*IF(AND($C$301&lt;&gt;0,I$312&gt;=Inputs!$C$26),1+$C$301,1))</f>
        <v>67</v>
      </c>
      <c r="J313" s="24" t="n">
        <f aca="false">IF(J$312&lt;=Inputs!$C$22,Inputs!$C$21,Inputs!$C$23*(1+Inputs!$C$24)^(J$312-5)*IF(AND($C$301&lt;&gt;0,J$312&gt;=Inputs!$C$26),1+$C$301,1))</f>
        <v>68.675</v>
      </c>
      <c r="K313" s="24" t="n">
        <f aca="false">IF(K$312&lt;=Inputs!$C$22,Inputs!$C$21,Inputs!$C$23*(1+Inputs!$C$24)^(K$312-5)*IF(AND($C$301&lt;&gt;0,K$312&gt;=Inputs!$C$26),1+$C$301,1))</f>
        <v>70.391875</v>
      </c>
      <c r="L313" s="24" t="n">
        <f aca="false">IF(L$312&lt;=Inputs!$C$22,Inputs!$C$21,Inputs!$C$23*(1+Inputs!$C$24)^(L$312-5)*IF(AND($C$301&lt;&gt;0,L$312&gt;=Inputs!$C$26),1+$C$301,1))</f>
        <v>72.151671875</v>
      </c>
      <c r="M313" s="24" t="n">
        <f aca="false">IF(M$312&lt;=Inputs!$C$22,Inputs!$C$21,Inputs!$C$23*(1+Inputs!$C$24)^(M$312-5)*IF(AND($C$301&lt;&gt;0,M$312&gt;=Inputs!$C$26),1+$C$301,1))</f>
        <v>73.955463671875</v>
      </c>
      <c r="N313" s="24" t="n">
        <f aca="false">IF(N$312&lt;=Inputs!$C$22,Inputs!$C$21,Inputs!$C$23*(1+Inputs!$C$24)^(N$312-5)*IF(AND($C$301&lt;&gt;0,N$312&gt;=Inputs!$C$26),1+$C$301,1))</f>
        <v>75.8043502636718</v>
      </c>
      <c r="O313" s="24" t="n">
        <f aca="false">IF(O$312&lt;=Inputs!$C$22,Inputs!$C$21,Inputs!$C$23*(1+Inputs!$C$24)^(O$312-5)*IF(AND($C$301&lt;&gt;0,O$312&gt;=Inputs!$C$26),1+$C$301,1))</f>
        <v>77.6994590202636</v>
      </c>
    </row>
    <row r="314" customFormat="false" ht="15" hidden="false" customHeight="false" outlineLevel="0" collapsed="false">
      <c r="B314" s="9" t="s">
        <v>143</v>
      </c>
      <c r="E314" s="24" t="n">
        <f aca="false">Inputs!$C$19*(1+Inputs!$C$20)^(E$312-1)</f>
        <v>74</v>
      </c>
      <c r="F314" s="24" t="n">
        <f aca="false">Inputs!$C$19*(1+Inputs!$C$20)^(F$312-1)</f>
        <v>75.48</v>
      </c>
      <c r="G314" s="24" t="n">
        <f aca="false">Inputs!$C$19*(1+Inputs!$C$20)^(G$312-1)</f>
        <v>76.9896</v>
      </c>
      <c r="H314" s="24" t="n">
        <f aca="false">Inputs!$C$19*(1+Inputs!$C$20)^(H$312-1)</f>
        <v>78.529392</v>
      </c>
      <c r="I314" s="24" t="n">
        <f aca="false">Inputs!$C$19*(1+Inputs!$C$20)^(I$312-1)</f>
        <v>80.09997984</v>
      </c>
      <c r="J314" s="24" t="n">
        <f aca="false">Inputs!$C$19*(1+Inputs!$C$20)^(J$312-1)</f>
        <v>81.7019794368</v>
      </c>
      <c r="K314" s="24" t="n">
        <f aca="false">Inputs!$C$19*(1+Inputs!$C$20)^(K$312-1)</f>
        <v>83.336019025536</v>
      </c>
      <c r="L314" s="24" t="n">
        <f aca="false">Inputs!$C$19*(1+Inputs!$C$20)^(L$312-1)</f>
        <v>85.0027394060467</v>
      </c>
      <c r="M314" s="24" t="n">
        <f aca="false">Inputs!$C$19*(1+Inputs!$C$20)^(M$312-1)</f>
        <v>86.7027941941677</v>
      </c>
      <c r="N314" s="24" t="n">
        <f aca="false">Inputs!$C$19*(1+Inputs!$C$20)^(N$312-1)</f>
        <v>88.436850078051</v>
      </c>
      <c r="O314" s="24" t="n">
        <f aca="false">Inputs!$C$19*(1+Inputs!$C$20)^(O$312-1)</f>
        <v>90.205587079612</v>
      </c>
    </row>
    <row r="315" customFormat="false" ht="15" hidden="false" customHeight="false" outlineLevel="0" collapsed="false">
      <c r="B315" s="9" t="s">
        <v>144</v>
      </c>
      <c r="E315" s="27" t="n">
        <f aca="false">(1+Inputs!$C$11)^(E$312-1)</f>
        <v>1</v>
      </c>
      <c r="F315" s="27" t="n">
        <f aca="false">(1+Inputs!$C$11)^(F$312-1)</f>
        <v>1.03</v>
      </c>
      <c r="G315" s="27" t="n">
        <f aca="false">(1+Inputs!$C$11)^(G$312-1)</f>
        <v>1.0609</v>
      </c>
      <c r="H315" s="27" t="n">
        <f aca="false">(1+Inputs!$C$11)^(H$312-1)</f>
        <v>1.092727</v>
      </c>
      <c r="I315" s="27" t="n">
        <f aca="false">(1+Inputs!$C$11)^(I$312-1)</f>
        <v>1.12550881</v>
      </c>
      <c r="J315" s="27" t="n">
        <f aca="false">(1+Inputs!$C$11)^(J$312-1)</f>
        <v>1.1592740743</v>
      </c>
      <c r="K315" s="27" t="n">
        <f aca="false">(1+Inputs!$C$11)^(K$312-1)</f>
        <v>1.194052296529</v>
      </c>
      <c r="L315" s="27" t="n">
        <f aca="false">(1+Inputs!$C$11)^(L$312-1)</f>
        <v>1.22987386542487</v>
      </c>
      <c r="M315" s="27" t="n">
        <f aca="false">(1+Inputs!$C$11)^(M$312-1)</f>
        <v>1.26677008138762</v>
      </c>
      <c r="N315" s="27" t="n">
        <f aca="false">(1+Inputs!$C$11)^(N$312-1)</f>
        <v>1.30477318382925</v>
      </c>
      <c r="O315" s="27" t="n">
        <f aca="false">(1+Inputs!$C$11)^(O$312-1)</f>
        <v>1.34391637934412</v>
      </c>
    </row>
    <row r="316" customFormat="false" ht="15" hidden="false" customHeight="false" outlineLevel="0" collapsed="false">
      <c r="B316" s="9" t="s">
        <v>145</v>
      </c>
      <c r="E316" s="19" t="n">
        <f aca="false">IF(OR(E$312&lt;=Inputs!$C$9,$C$300="renew"),IF(AND($C$303&gt;0,E$312&gt;=$C$303),$C$304,Inputs!$C$16),IF($C$300="stranded",0,Inputs!$C$16))</f>
        <v>0.8</v>
      </c>
      <c r="F316" s="19" t="n">
        <f aca="false">IF(OR(F$312&lt;=Inputs!$C$9,$C$300="renew"),IF(AND($C$303&gt;0,F$312&gt;=$C$303),$C$304,Inputs!$C$16),IF($C$300="stranded",0,Inputs!$C$16))</f>
        <v>0.8</v>
      </c>
      <c r="G316" s="19" t="n">
        <f aca="false">IF(OR(G$312&lt;=Inputs!$C$9,$C$300="renew"),IF(AND($C$303&gt;0,G$312&gt;=$C$303),$C$304,Inputs!$C$16),IF($C$300="stranded",0,Inputs!$C$16))</f>
        <v>0.8</v>
      </c>
      <c r="H316" s="19" t="n">
        <f aca="false">IF(OR(H$312&lt;=Inputs!$C$9,$C$300="renew"),IF(AND($C$303&gt;0,H$312&gt;=$C$303),$C$304,Inputs!$C$16),IF($C$300="stranded",0,Inputs!$C$16))</f>
        <v>0.8</v>
      </c>
      <c r="I316" s="19" t="n">
        <f aca="false">IF(OR(I$312&lt;=Inputs!$C$9,$C$300="renew"),IF(AND($C$303&gt;0,I$312&gt;=$C$303),$C$304,Inputs!$C$16),IF($C$300="stranded",0,Inputs!$C$16))</f>
        <v>0.45</v>
      </c>
      <c r="J316" s="19" t="n">
        <f aca="false">IF(OR(J$312&lt;=Inputs!$C$9,$C$300="renew"),IF(AND($C$303&gt;0,J$312&gt;=$C$303),$C$304,Inputs!$C$16),IF($C$300="stranded",0,Inputs!$C$16))</f>
        <v>0.45</v>
      </c>
      <c r="K316" s="19" t="n">
        <f aca="false">IF(OR(K$312&lt;=Inputs!$C$9,$C$300="renew"),IF(AND($C$303&gt;0,K$312&gt;=$C$303),$C$304,Inputs!$C$16),IF($C$300="stranded",0,Inputs!$C$16))</f>
        <v>0.45</v>
      </c>
      <c r="L316" s="19" t="n">
        <f aca="false">IF(OR(L$312&lt;=Inputs!$C$9,$C$300="renew"),IF(AND($C$303&gt;0,L$312&gt;=$C$303),$C$304,Inputs!$C$16),IF($C$300="stranded",0,Inputs!$C$16))</f>
        <v>0.45</v>
      </c>
      <c r="M316" s="19" t="n">
        <f aca="false">IF(OR(M$312&lt;=Inputs!$C$9,$C$300="renew"),IF(AND($C$303&gt;0,M$312&gt;=$C$303),$C$304,Inputs!$C$16),IF($C$300="stranded",0,Inputs!$C$16))</f>
        <v>0</v>
      </c>
      <c r="N316" s="19" t="n">
        <f aca="false">IF(OR(N$312&lt;=Inputs!$C$9,$C$300="renew"),IF(AND($C$303&gt;0,N$312&gt;=$C$303),$C$304,Inputs!$C$16),IF($C$300="stranded",0,Inputs!$C$16))</f>
        <v>0</v>
      </c>
      <c r="O316" s="19" t="n">
        <f aca="false">IF(OR(O$312&lt;=Inputs!$C$9,$C$300="renew"),IF(AND($C$303&gt;0,O$312&gt;=$C$303),$C$304,Inputs!$C$16),IF($C$300="stranded",0,Inputs!$C$16))</f>
        <v>0</v>
      </c>
    </row>
    <row r="317" customFormat="false" ht="15" hidden="false" customHeight="false" outlineLevel="0" collapsed="false">
      <c r="B317" s="9" t="s">
        <v>146</v>
      </c>
      <c r="E317" s="22" t="n">
        <f aca="false">IF(OR(E$312&lt;=Inputs!$C$9,$C$300="renew"),IF(AND($C$303&gt;0,E$312&gt;=$C$303),$C$305,$C$307),IF($C$300="retrofit",Inputs!$C$47,IF($C$300="relet",Inputs!$C$53,0)))</f>
        <v>1.4</v>
      </c>
      <c r="F317" s="22" t="n">
        <f aca="false">IF(OR(F$312&lt;=Inputs!$C$9,$C$300="renew"),IF(AND($C$303&gt;0,F$312&gt;=$C$303),$C$305,$C$307),IF($C$300="retrofit",Inputs!$C$47,IF($C$300="relet",Inputs!$C$53,0)))</f>
        <v>1.4</v>
      </c>
      <c r="G317" s="22" t="n">
        <f aca="false">IF(OR(G$312&lt;=Inputs!$C$9,$C$300="renew"),IF(AND($C$303&gt;0,G$312&gt;=$C$303),$C$305,$C$307),IF($C$300="retrofit",Inputs!$C$47,IF($C$300="relet",Inputs!$C$53,0)))</f>
        <v>1.4</v>
      </c>
      <c r="H317" s="22" t="n">
        <f aca="false">IF(OR(H$312&lt;=Inputs!$C$9,$C$300="renew"),IF(AND($C$303&gt;0,H$312&gt;=$C$303),$C$305,$C$307),IF($C$300="retrofit",Inputs!$C$47,IF($C$300="relet",Inputs!$C$53,0)))</f>
        <v>1.4</v>
      </c>
      <c r="I317" s="22" t="n">
        <f aca="false">IF(OR(I$312&lt;=Inputs!$C$9,$C$300="renew"),IF(AND($C$303&gt;0,I$312&gt;=$C$303),$C$305,$C$307),IF($C$300="retrofit",Inputs!$C$47,IF($C$300="relet",Inputs!$C$53,0)))</f>
        <v>1.55</v>
      </c>
      <c r="J317" s="22" t="n">
        <f aca="false">IF(OR(J$312&lt;=Inputs!$C$9,$C$300="renew"),IF(AND($C$303&gt;0,J$312&gt;=$C$303),$C$305,$C$307),IF($C$300="retrofit",Inputs!$C$47,IF($C$300="relet",Inputs!$C$53,0)))</f>
        <v>1.55</v>
      </c>
      <c r="K317" s="22" t="n">
        <f aca="false">IF(OR(K$312&lt;=Inputs!$C$9,$C$300="renew"),IF(AND($C$303&gt;0,K$312&gt;=$C$303),$C$305,$C$307),IF($C$300="retrofit",Inputs!$C$47,IF($C$300="relet",Inputs!$C$53,0)))</f>
        <v>1.55</v>
      </c>
      <c r="L317" s="22" t="n">
        <f aca="false">IF(OR(L$312&lt;=Inputs!$C$9,$C$300="renew"),IF(AND($C$303&gt;0,L$312&gt;=$C$303),$C$305,$C$307),IF($C$300="retrofit",Inputs!$C$47,IF($C$300="relet",Inputs!$C$53,0)))</f>
        <v>1.55</v>
      </c>
      <c r="M317" s="22" t="n">
        <f aca="false">IF(OR(M$312&lt;=Inputs!$C$9,$C$300="renew"),IF(AND($C$303&gt;0,M$312&gt;=$C$303),$C$305,$C$307),IF($C$300="retrofit",Inputs!$C$47,IF($C$300="relet",Inputs!$C$53,0)))</f>
        <v>0</v>
      </c>
      <c r="N317" s="22" t="n">
        <f aca="false">IF(OR(N$312&lt;=Inputs!$C$9,$C$300="renew"),IF(AND($C$303&gt;0,N$312&gt;=$C$303),$C$305,$C$307),IF($C$300="retrofit",Inputs!$C$47,IF($C$300="relet",Inputs!$C$53,0)))</f>
        <v>0</v>
      </c>
      <c r="O317" s="22" t="n">
        <f aca="false">IF(OR(O$312&lt;=Inputs!$C$9,$C$300="renew"),IF(AND($C$303&gt;0,O$312&gt;=$C$303),$C$305,$C$307),IF($C$300="retrofit",Inputs!$C$47,IF($C$300="relet",Inputs!$C$53,0)))</f>
        <v>0</v>
      </c>
    </row>
    <row r="318" customFormat="false" ht="15" hidden="false" customHeight="false" outlineLevel="0" collapsed="false">
      <c r="B318" s="9" t="s">
        <v>147</v>
      </c>
      <c r="E318" s="21" t="n">
        <f aca="false">IF(OR(E$312&lt;=Inputs!$C$9,$C$300="renew"),1,IF($C$300="retrofit",IF(E$312-Inputs!$C$9=1,0,1),IF($C$300="relet",CHOOSE(MIN(E$312-Inputs!$C$9,3),Inputs!$C$50,Inputs!$C$51,Inputs!$C$52),0)))</f>
        <v>1</v>
      </c>
      <c r="F318" s="21" t="n">
        <f aca="false">IF(OR(F$312&lt;=Inputs!$C$9,$C$300="renew"),1,IF($C$300="retrofit",IF(F$312-Inputs!$C$9=1,0,1),IF($C$300="relet",CHOOSE(MIN(F$312-Inputs!$C$9,3),Inputs!$C$50,Inputs!$C$51,Inputs!$C$52),0)))</f>
        <v>1</v>
      </c>
      <c r="G318" s="21" t="n">
        <f aca="false">IF(OR(G$312&lt;=Inputs!$C$9,$C$300="renew"),1,IF($C$300="retrofit",IF(G$312-Inputs!$C$9=1,0,1),IF($C$300="relet",CHOOSE(MIN(G$312-Inputs!$C$9,3),Inputs!$C$50,Inputs!$C$51,Inputs!$C$52),0)))</f>
        <v>1</v>
      </c>
      <c r="H318" s="21" t="n">
        <f aca="false">IF(OR(H$312&lt;=Inputs!$C$9,$C$300="renew"),1,IF($C$300="retrofit",IF(H$312-Inputs!$C$9=1,0,1),IF($C$300="relet",CHOOSE(MIN(H$312-Inputs!$C$9,3),Inputs!$C$50,Inputs!$C$51,Inputs!$C$52),0)))</f>
        <v>1</v>
      </c>
      <c r="I318" s="21" t="n">
        <f aca="false">IF(OR(I$312&lt;=Inputs!$C$9,$C$300="renew"),1,IF($C$300="retrofit",IF(I$312-Inputs!$C$9=1,0,1),IF($C$300="relet",CHOOSE(MIN(I$312-Inputs!$C$9,3),Inputs!$C$50,Inputs!$C$51,Inputs!$C$52),0)))</f>
        <v>1</v>
      </c>
      <c r="J318" s="21" t="n">
        <f aca="false">IF(OR(J$312&lt;=Inputs!$C$9,$C$300="renew"),1,IF($C$300="retrofit",IF(J$312-Inputs!$C$9=1,0,1),IF($C$300="relet",CHOOSE(MIN(J$312-Inputs!$C$9,3),Inputs!$C$50,Inputs!$C$51,Inputs!$C$52),0)))</f>
        <v>1</v>
      </c>
      <c r="K318" s="21" t="n">
        <f aca="false">IF(OR(K$312&lt;=Inputs!$C$9,$C$300="renew"),1,IF($C$300="retrofit",IF(K$312-Inputs!$C$9=1,0,1),IF($C$300="relet",CHOOSE(MIN(K$312-Inputs!$C$9,3),Inputs!$C$50,Inputs!$C$51,Inputs!$C$52),0)))</f>
        <v>1</v>
      </c>
      <c r="L318" s="21" t="n">
        <f aca="false">IF(OR(L$312&lt;=Inputs!$C$9,$C$300="renew"),1,IF($C$300="retrofit",IF(L$312-Inputs!$C$9=1,0,1),IF($C$300="relet",CHOOSE(MIN(L$312-Inputs!$C$9,3),Inputs!$C$50,Inputs!$C$51,Inputs!$C$52),0)))</f>
        <v>1</v>
      </c>
      <c r="M318" s="21" t="n">
        <f aca="false">IF(OR(M$312&lt;=Inputs!$C$9,$C$300="renew"),1,IF($C$300="retrofit",IF(M$312-Inputs!$C$9=1,0,1),IF($C$300="relet",CHOOSE(MIN(M$312-Inputs!$C$9,3),Inputs!$C$50,Inputs!$C$51,Inputs!$C$52),0)))</f>
        <v>0</v>
      </c>
      <c r="N318" s="21" t="n">
        <f aca="false">IF(OR(N$312&lt;=Inputs!$C$9,$C$300="renew"),1,IF($C$300="retrofit",IF(N$312-Inputs!$C$9=1,0,1),IF($C$300="relet",CHOOSE(MIN(N$312-Inputs!$C$9,3),Inputs!$C$50,Inputs!$C$51,Inputs!$C$52),0)))</f>
        <v>0</v>
      </c>
      <c r="O318" s="21" t="n">
        <f aca="false">IF(OR(O$312&lt;=Inputs!$C$9,$C$300="renew"),1,IF($C$300="retrofit",IF(O$312-Inputs!$C$9=1,0,1),IF($C$300="relet",CHOOSE(MIN(O$312-Inputs!$C$9,3),Inputs!$C$50,Inputs!$C$51,Inputs!$C$52),0)))</f>
        <v>0</v>
      </c>
    </row>
    <row r="319" customFormat="false" ht="15" hidden="false" customHeight="false" outlineLevel="0" collapsed="false">
      <c r="B319" s="9" t="s">
        <v>148</v>
      </c>
      <c r="E319" s="28" t="n">
        <f aca="false">Inputs!$C$6*1000*E316*E318*8760/1000</f>
        <v>224256</v>
      </c>
      <c r="F319" s="28" t="n">
        <f aca="false">Inputs!$C$6*1000*F316*F318*8760/1000</f>
        <v>224256</v>
      </c>
      <c r="G319" s="28" t="n">
        <f aca="false">Inputs!$C$6*1000*G316*G318*8760/1000</f>
        <v>224256</v>
      </c>
      <c r="H319" s="28" t="n">
        <f aca="false">Inputs!$C$6*1000*H316*H318*8760/1000</f>
        <v>224256</v>
      </c>
      <c r="I319" s="28" t="n">
        <f aca="false">Inputs!$C$6*1000*I316*I318*8760/1000</f>
        <v>126144</v>
      </c>
      <c r="J319" s="28" t="n">
        <f aca="false">Inputs!$C$6*1000*J316*J318*8760/1000</f>
        <v>126144</v>
      </c>
      <c r="K319" s="28" t="n">
        <f aca="false">Inputs!$C$6*1000*K316*K318*8760/1000</f>
        <v>126144</v>
      </c>
      <c r="L319" s="28" t="n">
        <f aca="false">Inputs!$C$6*1000*L316*L318*8760/1000</f>
        <v>126144</v>
      </c>
      <c r="M319" s="28" t="n">
        <f aca="false">Inputs!$C$6*1000*M316*M318*8760/1000</f>
        <v>0</v>
      </c>
      <c r="N319" s="28" t="n">
        <f aca="false">Inputs!$C$6*1000*N316*N318*8760/1000</f>
        <v>0</v>
      </c>
      <c r="O319" s="28" t="n">
        <f aca="false">Inputs!$C$6*1000*O316*O318*8760/1000</f>
        <v>0</v>
      </c>
    </row>
    <row r="320" customFormat="false" ht="15" hidden="false" customHeight="false" outlineLevel="0" collapsed="false">
      <c r="B320" s="9" t="s">
        <v>149</v>
      </c>
      <c r="E320" s="24" t="n">
        <f aca="false">IF(E$312&lt;=Inputs!$C$9,Inputs!$C$6*1000*Inputs!$C$7*12*(1+Inputs!$C$8)^(E$312-1)/1000000,IF($C$300="renew",$C$311*$C$308*(1+Inputs!$C$8)^(E$312-Inputs!$C$9-1),IF($C$300="retrofit",IF(E$312-Inputs!$C$9=1,0,Inputs!$C$6*1000*Inputs!$C$46*12*(1+Inputs!$C$8)^(E$312-Inputs!$C$9-2)/1000000),IF($C$300="relet",Inputs!$C$6*1000*E318*$C$309*12*(1+Inputs!$C$8)^(E$312-Inputs!$C$9-2)/1000000,0))))</f>
        <v>52.992</v>
      </c>
      <c r="F320" s="24" t="n">
        <f aca="false">IF(F$312&lt;=Inputs!$C$9,Inputs!$C$6*1000*Inputs!$C$7*12*(1+Inputs!$C$8)^(F$312-1)/1000000,IF($C$300="renew",$C$311*$C$308*(1+Inputs!$C$8)^(F$312-Inputs!$C$9-1),IF($C$300="retrofit",IF(F$312-Inputs!$C$9=1,0,Inputs!$C$6*1000*Inputs!$C$46*12*(1+Inputs!$C$8)^(F$312-Inputs!$C$9-2)/1000000),IF($C$300="relet",Inputs!$C$6*1000*F318*$C$309*12*(1+Inputs!$C$8)^(F$312-Inputs!$C$9-2)/1000000,0))))</f>
        <v>54.05184</v>
      </c>
      <c r="G320" s="24" t="n">
        <f aca="false">IF(G$312&lt;=Inputs!$C$9,Inputs!$C$6*1000*Inputs!$C$7*12*(1+Inputs!$C$8)^(G$312-1)/1000000,IF($C$300="renew",$C$311*$C$308*(1+Inputs!$C$8)^(G$312-Inputs!$C$9-1),IF($C$300="retrofit",IF(G$312-Inputs!$C$9=1,0,Inputs!$C$6*1000*Inputs!$C$46*12*(1+Inputs!$C$8)^(G$312-Inputs!$C$9-2)/1000000),IF($C$300="relet",Inputs!$C$6*1000*G318*$C$309*12*(1+Inputs!$C$8)^(G$312-Inputs!$C$9-2)/1000000,0))))</f>
        <v>55.1328768</v>
      </c>
      <c r="H320" s="24" t="n">
        <f aca="false">IF(H$312&lt;=Inputs!$C$9,Inputs!$C$6*1000*Inputs!$C$7*12*(1+Inputs!$C$8)^(H$312-1)/1000000,IF($C$300="renew",$C$311*$C$308*(1+Inputs!$C$8)^(H$312-Inputs!$C$9-1),IF($C$300="retrofit",IF(H$312-Inputs!$C$9=1,0,Inputs!$C$6*1000*Inputs!$C$46*12*(1+Inputs!$C$8)^(H$312-Inputs!$C$9-2)/1000000),IF($C$300="relet",Inputs!$C$6*1000*H318*$C$309*12*(1+Inputs!$C$8)^(H$312-Inputs!$C$9-2)/1000000,0))))</f>
        <v>56.235534336</v>
      </c>
      <c r="I320" s="24" t="n">
        <f aca="false">IF(I$312&lt;=Inputs!$C$9,Inputs!$C$6*1000*Inputs!$C$7*12*(1+Inputs!$C$8)^(I$312-1)/1000000,IF($C$300="renew",$C$311*$C$308*(1+Inputs!$C$8)^(I$312-Inputs!$C$9-1),IF($C$300="retrofit",IF(I$312-Inputs!$C$9=1,0,Inputs!$C$6*1000*Inputs!$C$46*12*(1+Inputs!$C$8)^(I$312-Inputs!$C$9-2)/1000000),IF($C$300="relet",Inputs!$C$6*1000*I318*$C$309*12*(1+Inputs!$C$8)^(I$312-Inputs!$C$9-2)/1000000,0))))</f>
        <v>57.36024502272</v>
      </c>
      <c r="J320" s="24" t="n">
        <f aca="false">IF(J$312&lt;=Inputs!$C$9,Inputs!$C$6*1000*Inputs!$C$7*12*(1+Inputs!$C$8)^(J$312-1)/1000000,IF($C$300="renew",$C$311*$C$308*(1+Inputs!$C$8)^(J$312-Inputs!$C$9-1),IF($C$300="retrofit",IF(J$312-Inputs!$C$9=1,0,Inputs!$C$6*1000*Inputs!$C$46*12*(1+Inputs!$C$8)^(J$312-Inputs!$C$9-2)/1000000),IF($C$300="relet",Inputs!$C$6*1000*J318*$C$309*12*(1+Inputs!$C$8)^(J$312-Inputs!$C$9-2)/1000000,0))))</f>
        <v>58.5074499231744</v>
      </c>
      <c r="K320" s="24" t="n">
        <f aca="false">IF(K$312&lt;=Inputs!$C$9,Inputs!$C$6*1000*Inputs!$C$7*12*(1+Inputs!$C$8)^(K$312-1)/1000000,IF($C$300="renew",$C$311*$C$308*(1+Inputs!$C$8)^(K$312-Inputs!$C$9-1),IF($C$300="retrofit",IF(K$312-Inputs!$C$9=1,0,Inputs!$C$6*1000*Inputs!$C$46*12*(1+Inputs!$C$8)^(K$312-Inputs!$C$9-2)/1000000),IF($C$300="relet",Inputs!$C$6*1000*K318*$C$309*12*(1+Inputs!$C$8)^(K$312-Inputs!$C$9-2)/1000000,0))))</f>
        <v>59.6775989216379</v>
      </c>
      <c r="L320" s="24" t="n">
        <f aca="false">IF(L$312&lt;=Inputs!$C$9,Inputs!$C$6*1000*Inputs!$C$7*12*(1+Inputs!$C$8)^(L$312-1)/1000000,IF($C$300="renew",$C$311*$C$308*(1+Inputs!$C$8)^(L$312-Inputs!$C$9-1),IF($C$300="retrofit",IF(L$312-Inputs!$C$9=1,0,Inputs!$C$6*1000*Inputs!$C$46*12*(1+Inputs!$C$8)^(L$312-Inputs!$C$9-2)/1000000),IF($C$300="relet",Inputs!$C$6*1000*L318*$C$309*12*(1+Inputs!$C$8)^(L$312-Inputs!$C$9-2)/1000000,0))))</f>
        <v>60.8711509000706</v>
      </c>
      <c r="M320" s="24" t="n">
        <f aca="false">IF(M$312&lt;=Inputs!$C$9,Inputs!$C$6*1000*Inputs!$C$7*12*(1+Inputs!$C$8)^(M$312-1)/1000000,IF($C$300="renew",$C$311*$C$308*(1+Inputs!$C$8)^(M$312-Inputs!$C$9-1),IF($C$300="retrofit",IF(M$312-Inputs!$C$9=1,0,Inputs!$C$6*1000*Inputs!$C$46*12*(1+Inputs!$C$8)^(M$312-Inputs!$C$9-2)/1000000),IF($C$300="relet",Inputs!$C$6*1000*M318*$C$309*12*(1+Inputs!$C$8)^(M$312-Inputs!$C$9-2)/1000000,0))))</f>
        <v>0</v>
      </c>
      <c r="N320" s="24" t="n">
        <f aca="false">IF(N$312&lt;=Inputs!$C$9,Inputs!$C$6*1000*Inputs!$C$7*12*(1+Inputs!$C$8)^(N$312-1)/1000000,IF($C$300="renew",$C$311*$C$308*(1+Inputs!$C$8)^(N$312-Inputs!$C$9-1),IF($C$300="retrofit",IF(N$312-Inputs!$C$9=1,0,Inputs!$C$6*1000*Inputs!$C$46*12*(1+Inputs!$C$8)^(N$312-Inputs!$C$9-2)/1000000),IF($C$300="relet",Inputs!$C$6*1000*N318*$C$309*12*(1+Inputs!$C$8)^(N$312-Inputs!$C$9-2)/1000000,0))))</f>
        <v>0</v>
      </c>
      <c r="O320" s="24" t="n">
        <f aca="false">IF(O$312&lt;=Inputs!$C$9,Inputs!$C$6*1000*Inputs!$C$7*12*(1+Inputs!$C$8)^(O$312-1)/1000000,IF($C$300="renew",$C$311*$C$308*(1+Inputs!$C$8)^(O$312-Inputs!$C$9-1),IF($C$300="retrofit",IF(O$312-Inputs!$C$9=1,0,Inputs!$C$6*1000*Inputs!$C$46*12*(1+Inputs!$C$8)^(O$312-Inputs!$C$9-2)/1000000),IF($C$300="relet",Inputs!$C$6*1000*O318*$C$309*12*(1+Inputs!$C$8)^(O$312-Inputs!$C$9-2)/1000000,0))))</f>
        <v>0</v>
      </c>
    </row>
    <row r="321" customFormat="false" ht="15" hidden="false" customHeight="false" outlineLevel="0" collapsed="false">
      <c r="B321" s="9" t="s">
        <v>150</v>
      </c>
      <c r="E321" s="24" t="n">
        <f aca="false">IF(OR(E$312&lt;=Inputs!$C$9,$C$300="renew"),E319*(Inputs!$C$17*E314-E317*E313)/1000000,E319*E317*Inputs!$C$27/1000000)</f>
        <v>2.4219648</v>
      </c>
      <c r="F321" s="24" t="n">
        <f aca="false">IF(OR(F$312&lt;=Inputs!$C$9,$C$300="renew"),F319*(Inputs!$C$17*F314-F317*F313)/1000000,F319*F317*Inputs!$C$27/1000000)</f>
        <v>2.853433344</v>
      </c>
      <c r="G321" s="24" t="n">
        <f aca="false">IF(OR(G$312&lt;=Inputs!$C$9,$C$300="renew"),G319*(Inputs!$C$17*G314-G317*G313)/1000000,G319*G317*Inputs!$C$27/1000000)</f>
        <v>3.29353125888</v>
      </c>
      <c r="H321" s="24" t="n">
        <f aca="false">IF(OR(H$312&lt;=Inputs!$C$9,$C$300="renew"),H319*(Inputs!$C$17*H314-H317*H313)/1000000,H319*H317*Inputs!$C$27/1000000)</f>
        <v>3.74243113205761</v>
      </c>
      <c r="I321" s="24" t="n">
        <f aca="false">IF(OR(I$312&lt;=Inputs!$C$9,$C$300="renew"),I319*(Inputs!$C$17*I314-I317*I313)/1000000,I319*I317*Inputs!$C$27/1000000)</f>
        <v>0.0353170140180471</v>
      </c>
      <c r="J321" s="24" t="n">
        <f aca="false">IF(OR(J$312&lt;=Inputs!$C$9,$C$300="renew"),J319*(Inputs!$C$17*J314-J317*J313)/1000000,J319*J317*Inputs!$C$27/1000000)</f>
        <v>-0.0294769177015901</v>
      </c>
      <c r="K321" s="24" t="n">
        <f aca="false">IF(OR(K$312&lt;=Inputs!$C$9,$C$300="renew"),K319*(Inputs!$C$17*K314-K317*K313)/1000000,K319*K317*Inputs!$C$27/1000000)</f>
        <v>-0.0972042348556216</v>
      </c>
      <c r="L321" s="24" t="n">
        <f aca="false">IF(OR(L$312&lt;=Inputs!$C$9,$C$300="renew"),L319*(Inputs!$C$17*L314-L317*L313)/1000000,L319*L317*Inputs!$C$27/1000000)</f>
        <v>-0.167964542822729</v>
      </c>
      <c r="M321" s="24" t="n">
        <f aca="false">IF(OR(M$312&lt;=Inputs!$C$9,$C$300="renew"),M319*(Inputs!$C$17*M314-M317*M313)/1000000,M319*M317*Inputs!$C$27/1000000)</f>
        <v>0</v>
      </c>
      <c r="N321" s="24" t="n">
        <f aca="false">IF(OR(N$312&lt;=Inputs!$C$9,$C$300="renew"),N319*(Inputs!$C$17*N314-N317*N313)/1000000,N319*N317*Inputs!$C$27/1000000)</f>
        <v>0</v>
      </c>
      <c r="O321" s="24" t="n">
        <f aca="false">IF(OR(O$312&lt;=Inputs!$C$9,$C$300="renew"),O319*(Inputs!$C$17*O314-O317*O313)/1000000,O319*O317*Inputs!$C$27/1000000)</f>
        <v>0</v>
      </c>
    </row>
    <row r="322" customFormat="false" ht="15" hidden="false" customHeight="false" outlineLevel="0" collapsed="false">
      <c r="B322" s="9" t="s">
        <v>151</v>
      </c>
      <c r="E322" s="24" t="n">
        <f aca="false">Inputs!$C$10*E315*IF(OR(E$312&lt;=Inputs!$C$9,$C$300="renew"),1,IF($C$300="retrofit",IF(E$312-Inputs!$C$9=1,Inputs!$C$48,1),IF($C$300="relet",Inputs!$C$54,Inputs!$C$56)))</f>
        <v>4.1</v>
      </c>
      <c r="F322" s="24" t="n">
        <f aca="false">Inputs!$C$10*F315*IF(OR(F$312&lt;=Inputs!$C$9,$C$300="renew"),1,IF($C$300="retrofit",IF(F$312-Inputs!$C$9=1,Inputs!$C$48,1),IF($C$300="relet",Inputs!$C$54,Inputs!$C$56)))</f>
        <v>4.223</v>
      </c>
      <c r="G322" s="24" t="n">
        <f aca="false">Inputs!$C$10*G315*IF(OR(G$312&lt;=Inputs!$C$9,$C$300="renew"),1,IF($C$300="retrofit",IF(G$312-Inputs!$C$9=1,Inputs!$C$48,1),IF($C$300="relet",Inputs!$C$54,Inputs!$C$56)))</f>
        <v>4.34969</v>
      </c>
      <c r="H322" s="24" t="n">
        <f aca="false">Inputs!$C$10*H315*IF(OR(H$312&lt;=Inputs!$C$9,$C$300="renew"),1,IF($C$300="retrofit",IF(H$312-Inputs!$C$9=1,Inputs!$C$48,1),IF($C$300="relet",Inputs!$C$54,Inputs!$C$56)))</f>
        <v>4.4801807</v>
      </c>
      <c r="I322" s="24" t="n">
        <f aca="false">Inputs!$C$10*I315*IF(OR(I$312&lt;=Inputs!$C$9,$C$300="renew"),1,IF($C$300="retrofit",IF(I$312-Inputs!$C$9=1,Inputs!$C$48,1),IF($C$300="relet",Inputs!$C$54,Inputs!$C$56)))</f>
        <v>4.614586121</v>
      </c>
      <c r="J322" s="24" t="n">
        <f aca="false">Inputs!$C$10*J315*IF(OR(J$312&lt;=Inputs!$C$9,$C$300="renew"),1,IF($C$300="retrofit",IF(J$312-Inputs!$C$9=1,Inputs!$C$48,1),IF($C$300="relet",Inputs!$C$54,Inputs!$C$56)))</f>
        <v>4.75302370463</v>
      </c>
      <c r="K322" s="24" t="n">
        <f aca="false">Inputs!$C$10*K315*IF(OR(K$312&lt;=Inputs!$C$9,$C$300="renew"),1,IF($C$300="retrofit",IF(K$312-Inputs!$C$9=1,Inputs!$C$48,1),IF($C$300="relet",Inputs!$C$54,Inputs!$C$56)))</f>
        <v>4.8956144157689</v>
      </c>
      <c r="L322" s="24" t="n">
        <f aca="false">Inputs!$C$10*L315*IF(OR(L$312&lt;=Inputs!$C$9,$C$300="renew"),1,IF($C$300="retrofit",IF(L$312-Inputs!$C$9=1,Inputs!$C$48,1),IF($C$300="relet",Inputs!$C$54,Inputs!$C$56)))</f>
        <v>5.04248284824197</v>
      </c>
      <c r="M322" s="24" t="n">
        <f aca="false">Inputs!$C$10*M315*IF(OR(M$312&lt;=Inputs!$C$9,$C$300="renew"),1,IF($C$300="retrofit",IF(M$312-Inputs!$C$9=1,Inputs!$C$48,1),IF($C$300="relet",Inputs!$C$54,Inputs!$C$56)))</f>
        <v>2.07750293347569</v>
      </c>
      <c r="N322" s="24" t="n">
        <f aca="false">Inputs!$C$10*N315*IF(OR(N$312&lt;=Inputs!$C$9,$C$300="renew"),1,IF($C$300="retrofit",IF(N$312-Inputs!$C$9=1,Inputs!$C$48,1),IF($C$300="relet",Inputs!$C$54,Inputs!$C$56)))</f>
        <v>2.13982802147996</v>
      </c>
      <c r="O322" s="24" t="n">
        <f aca="false">Inputs!$C$10*O315*IF(OR(O$312&lt;=Inputs!$C$9,$C$300="renew"),1,IF($C$300="retrofit",IF(O$312-Inputs!$C$9=1,Inputs!$C$48,1),IF($C$300="relet",Inputs!$C$54,Inputs!$C$56)))</f>
        <v>2.20402286212436</v>
      </c>
    </row>
    <row r="323" customFormat="false" ht="15" hidden="false" customHeight="false" outlineLevel="0" collapsed="false">
      <c r="B323" s="9" t="s">
        <v>152</v>
      </c>
      <c r="E323" s="24" t="n">
        <f aca="false">IF(E$312&gt;=$C$302,Inputs!$C$30*1000*Inputs!$C$34*12*(1+Inputs!$C$8)^(E$312-$C$302)/1000000*IF(AND(E$312=$C$302,$C$302&gt;Inputs!$C$33),1-MIN(12,Inputs!$C$35*($C$302-Inputs!$C$33)*12)/12,1),0)</f>
        <v>0</v>
      </c>
      <c r="F323" s="24" t="n">
        <f aca="false">IF(F$312&gt;=$C$302,Inputs!$C$30*1000*Inputs!$C$34*12*(1+Inputs!$C$8)^(F$312-$C$302)/1000000*IF(AND(F$312=$C$302,$C$302&gt;Inputs!$C$33),1-MIN(12,Inputs!$C$35*($C$302-Inputs!$C$33)*12)/12,1),0)</f>
        <v>0</v>
      </c>
      <c r="G323" s="24" t="n">
        <f aca="false">IF(G$312&gt;=$C$302,Inputs!$C$30*1000*Inputs!$C$34*12*(1+Inputs!$C$8)^(G$312-$C$302)/1000000*IF(AND(G$312=$C$302,$C$302&gt;Inputs!$C$33),1-MIN(12,Inputs!$C$35*($C$302-Inputs!$C$33)*12)/12,1),0)</f>
        <v>29.184</v>
      </c>
      <c r="H323" s="24" t="n">
        <f aca="false">IF(H$312&gt;=$C$302,Inputs!$C$30*1000*Inputs!$C$34*12*(1+Inputs!$C$8)^(H$312-$C$302)/1000000*IF(AND(H$312=$C$302,$C$302&gt;Inputs!$C$33),1-MIN(12,Inputs!$C$35*($C$302-Inputs!$C$33)*12)/12,1),0)</f>
        <v>29.76768</v>
      </c>
      <c r="I323" s="24" t="n">
        <f aca="false">IF(I$312&gt;=$C$302,Inputs!$C$30*1000*Inputs!$C$34*12*(1+Inputs!$C$8)^(I$312-$C$302)/1000000*IF(AND(I$312=$C$302,$C$302&gt;Inputs!$C$33),1-MIN(12,Inputs!$C$35*($C$302-Inputs!$C$33)*12)/12,1),0)</f>
        <v>30.3630336</v>
      </c>
      <c r="J323" s="24" t="n">
        <f aca="false">IF(J$312&gt;=$C$302,Inputs!$C$30*1000*Inputs!$C$34*12*(1+Inputs!$C$8)^(J$312-$C$302)/1000000*IF(AND(J$312=$C$302,$C$302&gt;Inputs!$C$33),1-MIN(12,Inputs!$C$35*($C$302-Inputs!$C$33)*12)/12,1),0)</f>
        <v>30.970294272</v>
      </c>
      <c r="K323" s="24" t="n">
        <f aca="false">IF(K$312&gt;=$C$302,Inputs!$C$30*1000*Inputs!$C$34*12*(1+Inputs!$C$8)^(K$312-$C$302)/1000000*IF(AND(K$312=$C$302,$C$302&gt;Inputs!$C$33),1-MIN(12,Inputs!$C$35*($C$302-Inputs!$C$33)*12)/12,1),0)</f>
        <v>31.58970015744</v>
      </c>
      <c r="L323" s="24" t="n">
        <f aca="false">IF(L$312&gt;=$C$302,Inputs!$C$30*1000*Inputs!$C$34*12*(1+Inputs!$C$8)^(L$312-$C$302)/1000000*IF(AND(L$312=$C$302,$C$302&gt;Inputs!$C$33),1-MIN(12,Inputs!$C$35*($C$302-Inputs!$C$33)*12)/12,1),0)</f>
        <v>32.2214941605888</v>
      </c>
      <c r="M323" s="24" t="n">
        <f aca="false">IF(M$312&gt;=$C$302,Inputs!$C$30*1000*Inputs!$C$34*12*(1+Inputs!$C$8)^(M$312-$C$302)/1000000*IF(AND(M$312=$C$302,$C$302&gt;Inputs!$C$33),1-MIN(12,Inputs!$C$35*($C$302-Inputs!$C$33)*12)/12,1),0)</f>
        <v>32.8659240438006</v>
      </c>
      <c r="N323" s="24" t="n">
        <f aca="false">IF(N$312&gt;=$C$302,Inputs!$C$30*1000*Inputs!$C$34*12*(1+Inputs!$C$8)^(N$312-$C$302)/1000000*IF(AND(N$312=$C$302,$C$302&gt;Inputs!$C$33),1-MIN(12,Inputs!$C$35*($C$302-Inputs!$C$33)*12)/12,1),0)</f>
        <v>33.5232425246766</v>
      </c>
      <c r="O323" s="24" t="n">
        <f aca="false">IF(O$312&gt;=$C$302,Inputs!$C$30*1000*Inputs!$C$34*12*(1+Inputs!$C$8)^(O$312-$C$302)/1000000*IF(AND(O$312=$C$302,$C$302&gt;Inputs!$C$33),1-MIN(12,Inputs!$C$35*($C$302-Inputs!$C$33)*12)/12,1),0)</f>
        <v>34.1937073751701</v>
      </c>
    </row>
    <row r="324" customFormat="false" ht="15" hidden="false" customHeight="false" outlineLevel="0" collapsed="false">
      <c r="B324" s="9" t="s">
        <v>153</v>
      </c>
      <c r="E324" s="28" t="n">
        <f aca="false">IF(E$312&gt;=$C$302,Inputs!$C$30*1000*Inputs!$C$16*8760/1000,0)</f>
        <v>0</v>
      </c>
      <c r="F324" s="28" t="n">
        <f aca="false">IF(F$312&gt;=$C$302,Inputs!$C$30*1000*Inputs!$C$16*8760/1000,0)</f>
        <v>0</v>
      </c>
      <c r="G324" s="28" t="n">
        <f aca="false">IF(G$312&gt;=$C$302,Inputs!$C$30*1000*Inputs!$C$16*8760/1000,0)</f>
        <v>112128</v>
      </c>
      <c r="H324" s="28" t="n">
        <f aca="false">IF(H$312&gt;=$C$302,Inputs!$C$30*1000*Inputs!$C$16*8760/1000,0)</f>
        <v>112128</v>
      </c>
      <c r="I324" s="28" t="n">
        <f aca="false">IF(I$312&gt;=$C$302,Inputs!$C$30*1000*Inputs!$C$16*8760/1000,0)</f>
        <v>112128</v>
      </c>
      <c r="J324" s="28" t="n">
        <f aca="false">IF(J$312&gt;=$C$302,Inputs!$C$30*1000*Inputs!$C$16*8760/1000,0)</f>
        <v>112128</v>
      </c>
      <c r="K324" s="28" t="n">
        <f aca="false">IF(K$312&gt;=$C$302,Inputs!$C$30*1000*Inputs!$C$16*8760/1000,0)</f>
        <v>112128</v>
      </c>
      <c r="L324" s="28" t="n">
        <f aca="false">IF(L$312&gt;=$C$302,Inputs!$C$30*1000*Inputs!$C$16*8760/1000,0)</f>
        <v>112128</v>
      </c>
      <c r="M324" s="28" t="n">
        <f aca="false">IF(M$312&gt;=$C$302,Inputs!$C$30*1000*Inputs!$C$16*8760/1000,0)</f>
        <v>112128</v>
      </c>
      <c r="N324" s="28" t="n">
        <f aca="false">IF(N$312&gt;=$C$302,Inputs!$C$30*1000*Inputs!$C$16*8760/1000,0)</f>
        <v>112128</v>
      </c>
      <c r="O324" s="28" t="n">
        <f aca="false">IF(O$312&gt;=$C$302,Inputs!$C$30*1000*Inputs!$C$16*8760/1000,0)</f>
        <v>112128</v>
      </c>
    </row>
    <row r="325" customFormat="false" ht="15" hidden="false" customHeight="false" outlineLevel="0" collapsed="false">
      <c r="B325" s="9" t="s">
        <v>154</v>
      </c>
      <c r="E325" s="24" t="n">
        <f aca="false">E324*Inputs!$C$37*Inputs!$C$27/1000000</f>
        <v>0</v>
      </c>
      <c r="F325" s="24" t="n">
        <f aca="false">F324*Inputs!$C$37*Inputs!$C$27/1000000</f>
        <v>0</v>
      </c>
      <c r="G325" s="24" t="n">
        <f aca="false">G324*Inputs!$C$37*Inputs!$C$27/1000000</f>
        <v>0.4036608</v>
      </c>
      <c r="H325" s="24" t="n">
        <f aca="false">H324*Inputs!$C$37*Inputs!$C$27/1000000</f>
        <v>0.4036608</v>
      </c>
      <c r="I325" s="24" t="n">
        <f aca="false">I324*Inputs!$C$37*Inputs!$C$27/1000000</f>
        <v>0.4036608</v>
      </c>
      <c r="J325" s="24" t="n">
        <f aca="false">J324*Inputs!$C$37*Inputs!$C$27/1000000</f>
        <v>0.4036608</v>
      </c>
      <c r="K325" s="24" t="n">
        <f aca="false">K324*Inputs!$C$37*Inputs!$C$27/1000000</f>
        <v>0.4036608</v>
      </c>
      <c r="L325" s="24" t="n">
        <f aca="false">L324*Inputs!$C$37*Inputs!$C$27/1000000</f>
        <v>0.4036608</v>
      </c>
      <c r="M325" s="24" t="n">
        <f aca="false">M324*Inputs!$C$37*Inputs!$C$27/1000000</f>
        <v>0.4036608</v>
      </c>
      <c r="N325" s="24" t="n">
        <f aca="false">N324*Inputs!$C$37*Inputs!$C$27/1000000</f>
        <v>0.4036608</v>
      </c>
      <c r="O325" s="24" t="n">
        <f aca="false">O324*Inputs!$C$37*Inputs!$C$27/1000000</f>
        <v>0.4036608</v>
      </c>
    </row>
    <row r="326" customFormat="false" ht="15" hidden="false" customHeight="false" outlineLevel="0" collapsed="false">
      <c r="B326" s="9" t="s">
        <v>155</v>
      </c>
      <c r="E326" s="24" t="n">
        <f aca="false">IF(E$312&gt;=$C$302,Inputs!$C$38*E315,0)</f>
        <v>0</v>
      </c>
      <c r="F326" s="24" t="n">
        <f aca="false">IF(F$312&gt;=$C$302,Inputs!$C$38*F315,0)</f>
        <v>0</v>
      </c>
      <c r="G326" s="24" t="n">
        <f aca="false">IF(G$312&gt;=$C$302,Inputs!$C$38*G315,0)</f>
        <v>1.69744</v>
      </c>
      <c r="H326" s="24" t="n">
        <f aca="false">IF(H$312&gt;=$C$302,Inputs!$C$38*H315,0)</f>
        <v>1.7483632</v>
      </c>
      <c r="I326" s="24" t="n">
        <f aca="false">IF(I$312&gt;=$C$302,Inputs!$C$38*I315,0)</f>
        <v>1.800814096</v>
      </c>
      <c r="J326" s="24" t="n">
        <f aca="false">IF(J$312&gt;=$C$302,Inputs!$C$38*J315,0)</f>
        <v>1.85483851888</v>
      </c>
      <c r="K326" s="24" t="n">
        <f aca="false">IF(K$312&gt;=$C$302,Inputs!$C$38*K315,0)</f>
        <v>1.9104836744464</v>
      </c>
      <c r="L326" s="24" t="n">
        <f aca="false">IF(L$312&gt;=$C$302,Inputs!$C$38*L315,0)</f>
        <v>1.96779818467979</v>
      </c>
      <c r="M326" s="24" t="n">
        <f aca="false">IF(M$312&gt;=$C$302,Inputs!$C$38*M315,0)</f>
        <v>2.02683213022019</v>
      </c>
      <c r="N326" s="24" t="n">
        <f aca="false">IF(N$312&gt;=$C$302,Inputs!$C$38*N315,0)</f>
        <v>2.08763709412679</v>
      </c>
      <c r="O326" s="24" t="n">
        <f aca="false">IF(O$312&gt;=$C$302,Inputs!$C$38*O315,0)</f>
        <v>2.1502662069506</v>
      </c>
    </row>
    <row r="327" customFormat="false" ht="15" hidden="false" customHeight="false" outlineLevel="0" collapsed="false">
      <c r="B327" s="9" t="s">
        <v>156</v>
      </c>
      <c r="E327" s="24" t="n">
        <f aca="false">Inputs!$C$12*(E320+E323)</f>
        <v>0.52992</v>
      </c>
      <c r="F327" s="24" t="n">
        <f aca="false">Inputs!$C$12*(F320+F323)</f>
        <v>0.5405184</v>
      </c>
      <c r="G327" s="24" t="n">
        <f aca="false">Inputs!$C$12*(G320+G323)</f>
        <v>0.843168768</v>
      </c>
      <c r="H327" s="24" t="n">
        <f aca="false">Inputs!$C$12*(H320+H323)</f>
        <v>0.86003214336</v>
      </c>
      <c r="I327" s="24" t="n">
        <f aca="false">Inputs!$C$12*(I320+I323)</f>
        <v>0.8772327862272</v>
      </c>
      <c r="J327" s="24" t="n">
        <f aca="false">Inputs!$C$12*(J320+J323)</f>
        <v>0.894777441951744</v>
      </c>
      <c r="K327" s="24" t="n">
        <f aca="false">Inputs!$C$12*(K320+K323)</f>
        <v>0.912672990790779</v>
      </c>
      <c r="L327" s="24" t="n">
        <f aca="false">Inputs!$C$12*(L320+L323)</f>
        <v>0.930926450606595</v>
      </c>
      <c r="M327" s="24" t="n">
        <f aca="false">Inputs!$C$12*(M320+M323)</f>
        <v>0.328659240438006</v>
      </c>
      <c r="N327" s="24" t="n">
        <f aca="false">Inputs!$C$12*(N320+N323)</f>
        <v>0.335232425246766</v>
      </c>
      <c r="O327" s="24" t="n">
        <f aca="false">Inputs!$C$12*(O320+O323)</f>
        <v>0.341937073751701</v>
      </c>
    </row>
    <row r="328" customFormat="false" ht="15" hidden="false" customHeight="false" outlineLevel="0" collapsed="false">
      <c r="B328" s="29" t="s">
        <v>157</v>
      </c>
      <c r="E328" s="30" t="n">
        <f aca="false">E320+E321+E323+E325-E322-E326-E327</f>
        <v>50.7840448</v>
      </c>
      <c r="F328" s="30" t="n">
        <f aca="false">F320+F321+F323+F325-F322-F326-F327</f>
        <v>52.141754944</v>
      </c>
      <c r="G328" s="30" t="n">
        <f aca="false">G320+G321+G323+G325-G322-G326-G327</f>
        <v>81.12377009088</v>
      </c>
      <c r="H328" s="30" t="n">
        <f aca="false">H320+H321+H323+H325-H322-H326-H327</f>
        <v>83.0607302246976</v>
      </c>
      <c r="I328" s="30" t="n">
        <f aca="false">I320+I321+I323+I325-I322-I326-I327</f>
        <v>80.8696234335109</v>
      </c>
      <c r="J328" s="30" t="n">
        <f aca="false">J320+J321+J323+J325-J322-J326-J327</f>
        <v>82.3492884120111</v>
      </c>
      <c r="K328" s="30" t="n">
        <f aca="false">K320+K321+K323+K325-K322-K326-K327</f>
        <v>83.8549845632162</v>
      </c>
      <c r="L328" s="30" t="n">
        <f aca="false">L320+L321+L323+L325-L322-L326-L327</f>
        <v>85.3871338343084</v>
      </c>
      <c r="M328" s="30" t="n">
        <f aca="false">M320+M321+M323+M325-M322-M326-M327</f>
        <v>28.8365905396667</v>
      </c>
      <c r="N328" s="30" t="n">
        <f aca="false">N320+N321+N323+N325-N322-N326-N327</f>
        <v>29.3642057838231</v>
      </c>
      <c r="O328" s="30" t="n">
        <f aca="false">O320+O321+O323+O325-O322-O326-O327</f>
        <v>29.9011420323435</v>
      </c>
    </row>
    <row r="329" customFormat="false" ht="15" hidden="false" customHeight="false" outlineLevel="0" collapsed="false">
      <c r="B329" s="9" t="s">
        <v>158</v>
      </c>
      <c r="E329" s="24" t="n">
        <f aca="false">Inputs!$C$13*E315*IF(AND($C$300="stranded",E$312&gt;Inputs!$C$9),Inputs!$C$56,1)+IF(E$312&gt;=$C$302,Inputs!$C$39*E315,0)</f>
        <v>1.3</v>
      </c>
      <c r="F329" s="24" t="n">
        <f aca="false">Inputs!$C$13*F315*IF(AND($C$300="stranded",F$312&gt;Inputs!$C$9),Inputs!$C$56,1)+IF(F$312&gt;=$C$302,Inputs!$C$39*F315,0)</f>
        <v>1.339</v>
      </c>
      <c r="G329" s="24" t="n">
        <f aca="false">Inputs!$C$13*G315*IF(AND($C$300="stranded",G$312&gt;Inputs!$C$9),Inputs!$C$56,1)+IF(G$312&gt;=$C$302,Inputs!$C$39*G315,0)</f>
        <v>1.90962</v>
      </c>
      <c r="H329" s="24" t="n">
        <f aca="false">Inputs!$C$13*H315*IF(AND($C$300="stranded",H$312&gt;Inputs!$C$9),Inputs!$C$56,1)+IF(H$312&gt;=$C$302,Inputs!$C$39*H315,0)</f>
        <v>1.9669086</v>
      </c>
      <c r="I329" s="24" t="n">
        <f aca="false">Inputs!$C$13*I315*IF(AND($C$300="stranded",I$312&gt;Inputs!$C$9),Inputs!$C$56,1)+IF(I$312&gt;=$C$302,Inputs!$C$39*I315,0)</f>
        <v>2.025915858</v>
      </c>
      <c r="J329" s="24" t="n">
        <f aca="false">Inputs!$C$13*J315*IF(AND($C$300="stranded",J$312&gt;Inputs!$C$9),Inputs!$C$56,1)+IF(J$312&gt;=$C$302,Inputs!$C$39*J315,0)</f>
        <v>2.08669333374</v>
      </c>
      <c r="K329" s="24" t="n">
        <f aca="false">Inputs!$C$13*K315*IF(AND($C$300="stranded",K$312&gt;Inputs!$C$9),Inputs!$C$56,1)+IF(K$312&gt;=$C$302,Inputs!$C$39*K315,0)</f>
        <v>2.1492941337522</v>
      </c>
      <c r="L329" s="24" t="n">
        <f aca="false">Inputs!$C$13*L315*IF(AND($C$300="stranded",L$312&gt;Inputs!$C$9),Inputs!$C$56,1)+IF(L$312&gt;=$C$302,Inputs!$C$39*L315,0)</f>
        <v>2.21377295776477</v>
      </c>
      <c r="M329" s="24" t="n">
        <f aca="false">Inputs!$C$13*M315*IF(AND($C$300="stranded",M$312&gt;Inputs!$C$9),Inputs!$C$56,1)+IF(M$312&gt;=$C$302,Inputs!$C$39*M315,0)</f>
        <v>1.29210548301537</v>
      </c>
      <c r="N329" s="24" t="n">
        <f aca="false">Inputs!$C$13*N315*IF(AND($C$300="stranded",N$312&gt;Inputs!$C$9),Inputs!$C$56,1)+IF(N$312&gt;=$C$302,Inputs!$C$39*N315,0)</f>
        <v>1.33086864750583</v>
      </c>
      <c r="O329" s="24" t="n">
        <f aca="false">Inputs!$C$13*O315*IF(AND($C$300="stranded",O$312&gt;Inputs!$C$9),Inputs!$C$56,1)+IF(O$312&gt;=$C$302,Inputs!$C$39*O315,0)</f>
        <v>1.37079470693101</v>
      </c>
    </row>
    <row r="330" customFormat="false" ht="15" hidden="false" customHeight="false" outlineLevel="0" collapsed="false">
      <c r="B330" s="9" t="s">
        <v>159</v>
      </c>
      <c r="E330" s="24" t="n">
        <f aca="false">IF(OR(E$312=1,E$312=2),Inputs!$C$31*Inputs!$C$30/2,0)+IF(AND(E$312=2,$C$302&gt;Inputs!$C$33),Inputs!$C$31*Inputs!$C$30*Inputs!$C$36*($C$302-Inputs!$C$33),0)</f>
        <v>84</v>
      </c>
      <c r="F330" s="24" t="n">
        <f aca="false">IF(OR(F$312=1,F$312=2),Inputs!$C$31*Inputs!$C$30/2,0)+IF(AND(F$312=2,$C$302&gt;Inputs!$C$33),Inputs!$C$31*Inputs!$C$30*Inputs!$C$36*($C$302-Inputs!$C$33),0)</f>
        <v>84</v>
      </c>
      <c r="G330" s="24" t="n">
        <f aca="false">IF(OR(G$312=1,G$312=2),Inputs!$C$31*Inputs!$C$30/2,0)+IF(AND(G$312=2,$C$302&gt;Inputs!$C$33),Inputs!$C$31*Inputs!$C$30*Inputs!$C$36*($C$302-Inputs!$C$33),0)</f>
        <v>0</v>
      </c>
      <c r="H330" s="24" t="n">
        <f aca="false">IF(OR(H$312=1,H$312=2),Inputs!$C$31*Inputs!$C$30/2,0)+IF(AND(H$312=2,$C$302&gt;Inputs!$C$33),Inputs!$C$31*Inputs!$C$30*Inputs!$C$36*($C$302-Inputs!$C$33),0)</f>
        <v>0</v>
      </c>
      <c r="I330" s="24" t="n">
        <f aca="false">IF(OR(I$312=1,I$312=2),Inputs!$C$31*Inputs!$C$30/2,0)+IF(AND(I$312=2,$C$302&gt;Inputs!$C$33),Inputs!$C$31*Inputs!$C$30*Inputs!$C$36*($C$302-Inputs!$C$33),0)</f>
        <v>0</v>
      </c>
      <c r="J330" s="24" t="n">
        <f aca="false">IF(OR(J$312=1,J$312=2),Inputs!$C$31*Inputs!$C$30/2,0)+IF(AND(J$312=2,$C$302&gt;Inputs!$C$33),Inputs!$C$31*Inputs!$C$30*Inputs!$C$36*($C$302-Inputs!$C$33),0)</f>
        <v>0</v>
      </c>
      <c r="K330" s="24" t="n">
        <f aca="false">IF(OR(K$312=1,K$312=2),Inputs!$C$31*Inputs!$C$30/2,0)+IF(AND(K$312=2,$C$302&gt;Inputs!$C$33),Inputs!$C$31*Inputs!$C$30*Inputs!$C$36*($C$302-Inputs!$C$33),0)</f>
        <v>0</v>
      </c>
      <c r="L330" s="24" t="n">
        <f aca="false">IF(OR(L$312=1,L$312=2),Inputs!$C$31*Inputs!$C$30/2,0)+IF(AND(L$312=2,$C$302&gt;Inputs!$C$33),Inputs!$C$31*Inputs!$C$30*Inputs!$C$36*($C$302-Inputs!$C$33),0)</f>
        <v>0</v>
      </c>
      <c r="M330" s="24" t="n">
        <f aca="false">IF(OR(M$312=1,M$312=2),Inputs!$C$31*Inputs!$C$30/2,0)+IF(AND(M$312=2,$C$302&gt;Inputs!$C$33),Inputs!$C$31*Inputs!$C$30*Inputs!$C$36*($C$302-Inputs!$C$33),0)</f>
        <v>0</v>
      </c>
      <c r="N330" s="24" t="n">
        <f aca="false">IF(OR(N$312=1,N$312=2),Inputs!$C$31*Inputs!$C$30/2,0)+IF(AND(N$312=2,$C$302&gt;Inputs!$C$33),Inputs!$C$31*Inputs!$C$30*Inputs!$C$36*($C$302-Inputs!$C$33),0)</f>
        <v>0</v>
      </c>
      <c r="O330" s="24" t="n">
        <f aca="false">IF(OR(O$312=1,O$312=2),Inputs!$C$31*Inputs!$C$30/2,0)+IF(AND(O$312=2,$C$302&gt;Inputs!$C$33),Inputs!$C$31*Inputs!$C$30*Inputs!$C$36*($C$302-Inputs!$C$33),0)</f>
        <v>0</v>
      </c>
    </row>
    <row r="331" customFormat="false" ht="15" hidden="false" customHeight="false" outlineLevel="0" collapsed="false">
      <c r="B331" s="9" t="s">
        <v>160</v>
      </c>
      <c r="E331" s="24" t="n">
        <f aca="false">IF(E$312=Inputs!$C$9+1,Inputs!$C$6*IF($C$300="renew",Inputs!$C$44,IF($C$300="retrofit",Inputs!$C$45,IF($C$300="relet",Inputs!$C$55,0))),0)</f>
        <v>0</v>
      </c>
      <c r="F331" s="24" t="n">
        <f aca="false">IF(F$312=Inputs!$C$9+1,Inputs!$C$6*IF($C$300="renew",Inputs!$C$44,IF($C$300="retrofit",Inputs!$C$45,IF($C$300="relet",Inputs!$C$55,0))),0)</f>
        <v>0</v>
      </c>
      <c r="G331" s="24" t="n">
        <f aca="false">IF(G$312=Inputs!$C$9+1,Inputs!$C$6*IF($C$300="renew",Inputs!$C$44,IF($C$300="retrofit",Inputs!$C$45,IF($C$300="relet",Inputs!$C$55,0))),0)</f>
        <v>0</v>
      </c>
      <c r="H331" s="24" t="n">
        <f aca="false">IF(H$312=Inputs!$C$9+1,Inputs!$C$6*IF($C$300="renew",Inputs!$C$44,IF($C$300="retrofit",Inputs!$C$45,IF($C$300="relet",Inputs!$C$55,0))),0)</f>
        <v>0</v>
      </c>
      <c r="I331" s="24" t="n">
        <f aca="false">IF(I$312=Inputs!$C$9+1,Inputs!$C$6*IF($C$300="renew",Inputs!$C$44,IF($C$300="retrofit",Inputs!$C$45,IF($C$300="relet",Inputs!$C$55,0))),0)</f>
        <v>0</v>
      </c>
      <c r="J331" s="24" t="n">
        <f aca="false">IF(J$312=Inputs!$C$9+1,Inputs!$C$6*IF($C$300="renew",Inputs!$C$44,IF($C$300="retrofit",Inputs!$C$45,IF($C$300="relet",Inputs!$C$55,0))),0)</f>
        <v>0</v>
      </c>
      <c r="K331" s="24" t="n">
        <f aca="false">IF(K$312=Inputs!$C$9+1,Inputs!$C$6*IF($C$300="renew",Inputs!$C$44,IF($C$300="retrofit",Inputs!$C$45,IF($C$300="relet",Inputs!$C$55,0))),0)</f>
        <v>0</v>
      </c>
      <c r="L331" s="24" t="n">
        <f aca="false">IF(L$312=Inputs!$C$9+1,Inputs!$C$6*IF($C$300="renew",Inputs!$C$44,IF($C$300="retrofit",Inputs!$C$45,IF($C$300="relet",Inputs!$C$55,0))),0)</f>
        <v>0</v>
      </c>
      <c r="M331" s="24" t="n">
        <f aca="false">IF(M$312=Inputs!$C$9+1,Inputs!$C$6*IF($C$300="renew",Inputs!$C$44,IF($C$300="retrofit",Inputs!$C$45,IF($C$300="relet",Inputs!$C$55,0))),0)</f>
        <v>0</v>
      </c>
      <c r="N331" s="24" t="n">
        <f aca="false">IF(N$312=Inputs!$C$9+1,Inputs!$C$6*IF($C$300="renew",Inputs!$C$44,IF($C$300="retrofit",Inputs!$C$45,IF($C$300="relet",Inputs!$C$55,0))),0)</f>
        <v>0</v>
      </c>
      <c r="O331" s="24" t="n">
        <f aca="false">IF(O$312=Inputs!$C$9+1,Inputs!$C$6*IF($C$300="renew",Inputs!$C$44,IF($C$300="retrofit",Inputs!$C$45,IF($C$300="relet",Inputs!$C$55,0))),0)</f>
        <v>0</v>
      </c>
    </row>
    <row r="332" customFormat="false" ht="15" hidden="false" customHeight="false" outlineLevel="0" collapsed="false">
      <c r="B332" s="29" t="s">
        <v>161</v>
      </c>
      <c r="E332" s="30" t="n">
        <f aca="false">E328-E329-E330-E331</f>
        <v>-34.5159552</v>
      </c>
      <c r="F332" s="30" t="n">
        <f aca="false">F328-F329-F330-F331</f>
        <v>-33.197245056</v>
      </c>
      <c r="G332" s="30" t="n">
        <f aca="false">G328-G329-G330-G331</f>
        <v>79.21415009088</v>
      </c>
      <c r="H332" s="30" t="n">
        <f aca="false">H328-H329-H330-H331</f>
        <v>81.0938216246976</v>
      </c>
      <c r="I332" s="30" t="n">
        <f aca="false">I328-I329-I330-I331</f>
        <v>78.8437075755109</v>
      </c>
      <c r="J332" s="30" t="n">
        <f aca="false">J328-J329-J330-J331</f>
        <v>80.2625950782711</v>
      </c>
      <c r="K332" s="30" t="n">
        <f aca="false">K328-K329-K330-K331</f>
        <v>81.705690429464</v>
      </c>
      <c r="L332" s="30" t="n">
        <f aca="false">L328-L329-L330-L331</f>
        <v>83.1733608765436</v>
      </c>
      <c r="M332" s="30" t="n">
        <f aca="false">M328-M329-M330-M331</f>
        <v>27.5444850566513</v>
      </c>
      <c r="N332" s="30" t="n">
        <f aca="false">N328-N329-N330-N331</f>
        <v>28.0333371363172</v>
      </c>
      <c r="O332" s="30" t="n">
        <f aca="false">O328-O329-O330-O331</f>
        <v>28.5303473254125</v>
      </c>
    </row>
    <row r="333" customFormat="false" ht="15" hidden="false" customHeight="false" outlineLevel="0" collapsed="false">
      <c r="B333" s="6" t="s">
        <v>162</v>
      </c>
    </row>
    <row r="335" customFormat="false" ht="15" hidden="false" customHeight="false" outlineLevel="0" collapsed="false">
      <c r="B335" s="9" t="s">
        <v>163</v>
      </c>
      <c r="C335" s="23" t="n">
        <f aca="false">IF($C$300="renew",Inputs!$C$67,IF($C$300="retrofit",Inputs!$C$68,IF($C$300="relet",Inputs!$C$69,Inputs!$C$70)))+$C$306</f>
        <v>0.06</v>
      </c>
    </row>
    <row r="336" customFormat="false" ht="15" hidden="false" customHeight="false" outlineLevel="0" collapsed="false">
      <c r="B336" s="9" t="s">
        <v>164</v>
      </c>
      <c r="C336" s="24" t="n">
        <f aca="false">O323+O325-O326-Inputs!$C$12*O323</f>
        <v>32.1051648944678</v>
      </c>
    </row>
    <row r="337" customFormat="false" ht="15" hidden="false" customHeight="false" outlineLevel="0" collapsed="false">
      <c r="B337" s="9" t="s">
        <v>165</v>
      </c>
      <c r="C337" s="24" t="n">
        <f aca="false">O328-$C$336</f>
        <v>-2.20402286212436</v>
      </c>
    </row>
    <row r="338" customFormat="false" ht="15" hidden="false" customHeight="false" outlineLevel="0" collapsed="false">
      <c r="B338" s="9" t="s">
        <v>166</v>
      </c>
      <c r="C338" s="24" t="n">
        <f aca="false">IF($C$300="stranded",Inputs!$C$57*Inputs!$C$6-Inputs!$C$58,0)</f>
        <v>39.2</v>
      </c>
    </row>
    <row r="339" customFormat="false" ht="15" hidden="false" customHeight="false" outlineLevel="0" collapsed="false">
      <c r="B339" s="9" t="s">
        <v>167</v>
      </c>
      <c r="C339" s="24" t="n">
        <f aca="false">($C$336+$C$337)/$C$335+$C$338</f>
        <v>537.552367205724</v>
      </c>
    </row>
    <row r="340" customFormat="false" ht="15" hidden="false" customHeight="false" outlineLevel="0" collapsed="false">
      <c r="B340" s="29" t="s">
        <v>168</v>
      </c>
      <c r="C340" s="30" t="n">
        <f aca="false">$C$339*(1-Inputs!$C$66)</f>
        <v>529.489081697639</v>
      </c>
    </row>
    <row r="341" customFormat="false" ht="15" hidden="false" customHeight="false" outlineLevel="0" collapsed="false">
      <c r="B341" s="9" t="s">
        <v>169</v>
      </c>
      <c r="C341" s="24" t="n">
        <f aca="false">$C$310*(1+Inputs!$C$65)</f>
        <v>918</v>
      </c>
    </row>
    <row r="343" customFormat="false" ht="15" hidden="false" customHeight="false" outlineLevel="0" collapsed="false">
      <c r="B343" s="25" t="s">
        <v>170</v>
      </c>
      <c r="C343" s="26"/>
      <c r="D343" s="26" t="n">
        <v>0</v>
      </c>
      <c r="E343" s="26" t="n">
        <v>1</v>
      </c>
      <c r="F343" s="26" t="n">
        <v>2</v>
      </c>
      <c r="G343" s="26" t="n">
        <v>3</v>
      </c>
      <c r="H343" s="26" t="n">
        <v>4</v>
      </c>
      <c r="I343" s="26" t="n">
        <v>5</v>
      </c>
      <c r="J343" s="26" t="n">
        <v>6</v>
      </c>
      <c r="K343" s="26" t="n">
        <v>7</v>
      </c>
      <c r="L343" s="26" t="n">
        <v>8</v>
      </c>
      <c r="M343" s="26" t="n">
        <v>9</v>
      </c>
      <c r="N343" s="26" t="n">
        <v>10</v>
      </c>
    </row>
    <row r="344" customFormat="false" ht="15" hidden="false" customHeight="false" outlineLevel="0" collapsed="false">
      <c r="B344" s="29" t="s">
        <v>171</v>
      </c>
      <c r="D344" s="30" t="n">
        <f aca="false">-$C$341</f>
        <v>-918</v>
      </c>
      <c r="E344" s="30" t="n">
        <f aca="false">E332</f>
        <v>-34.5159552</v>
      </c>
      <c r="F344" s="30" t="n">
        <f aca="false">F332</f>
        <v>-33.197245056</v>
      </c>
      <c r="G344" s="30" t="n">
        <f aca="false">G332</f>
        <v>79.21415009088</v>
      </c>
      <c r="H344" s="30" t="n">
        <f aca="false">H332</f>
        <v>81.0938216246976</v>
      </c>
      <c r="I344" s="30" t="n">
        <f aca="false">I332</f>
        <v>78.8437075755109</v>
      </c>
      <c r="J344" s="30" t="n">
        <f aca="false">J332</f>
        <v>80.2625950782711</v>
      </c>
      <c r="K344" s="30" t="n">
        <f aca="false">K332</f>
        <v>81.705690429464</v>
      </c>
      <c r="L344" s="30" t="n">
        <f aca="false">L332</f>
        <v>83.1733608765436</v>
      </c>
      <c r="M344" s="30" t="n">
        <f aca="false">M332</f>
        <v>27.5444850566513</v>
      </c>
      <c r="N344" s="30" t="n">
        <f aca="false">N332+$C$340</f>
        <v>557.522418833956</v>
      </c>
    </row>
    <row r="345" customFormat="false" ht="15" hidden="false" customHeight="false" outlineLevel="0" collapsed="false">
      <c r="B345" s="29" t="s">
        <v>172</v>
      </c>
      <c r="C345" s="31" t="n">
        <f aca="false">IRR(D344:N344,0.08)</f>
        <v>0.0104796366743075</v>
      </c>
    </row>
    <row r="348" customFormat="false" ht="15" hidden="false" customHeight="false" outlineLevel="0" collapsed="false">
      <c r="B348" s="7" t="s">
        <v>231</v>
      </c>
      <c r="C348" s="8"/>
      <c r="D348" s="8"/>
      <c r="E348" s="8"/>
      <c r="F348" s="8"/>
      <c r="G348" s="8"/>
      <c r="H348" s="8"/>
      <c r="I348" s="8"/>
      <c r="J348" s="8"/>
      <c r="K348" s="8"/>
      <c r="L348" s="8"/>
      <c r="M348" s="8"/>
      <c r="N348" s="8"/>
      <c r="O348" s="8"/>
    </row>
    <row r="349" customFormat="false" ht="15" hidden="false" customHeight="false" outlineLevel="0" collapsed="false">
      <c r="B349" s="9" t="s">
        <v>130</v>
      </c>
      <c r="C349" s="18" t="str">
        <f aca="false">Inputs!$C$42</f>
        <v>renew</v>
      </c>
    </row>
    <row r="350" customFormat="false" ht="15" hidden="false" customHeight="false" outlineLevel="0" collapsed="false">
      <c r="B350" s="9" t="s">
        <v>131</v>
      </c>
      <c r="C350" s="19" t="n">
        <f aca="false">Inputs!$C$25</f>
        <v>0</v>
      </c>
    </row>
    <row r="351" customFormat="false" ht="15" hidden="false" customHeight="false" outlineLevel="0" collapsed="false">
      <c r="B351" s="9" t="s">
        <v>132</v>
      </c>
      <c r="C351" s="20" t="n">
        <f aca="false">Inputs!$C$32</f>
        <v>3</v>
      </c>
    </row>
    <row r="352" customFormat="false" ht="15" hidden="false" customHeight="false" outlineLevel="0" collapsed="false">
      <c r="B352" s="9" t="s">
        <v>133</v>
      </c>
      <c r="C352" s="13" t="n">
        <v>0</v>
      </c>
    </row>
    <row r="353" customFormat="false" ht="15" hidden="false" customHeight="false" outlineLevel="0" collapsed="false">
      <c r="B353" s="9" t="s">
        <v>134</v>
      </c>
      <c r="C353" s="21" t="n">
        <f aca="false">Inputs!$C$60</f>
        <v>0.45</v>
      </c>
    </row>
    <row r="354" customFormat="false" ht="15" hidden="false" customHeight="false" outlineLevel="0" collapsed="false">
      <c r="B354" s="9" t="s">
        <v>135</v>
      </c>
      <c r="C354" s="22" t="n">
        <f aca="false">Inputs!$C$61</f>
        <v>1.55</v>
      </c>
    </row>
    <row r="355" customFormat="false" ht="15" hidden="false" customHeight="false" outlineLevel="0" collapsed="false">
      <c r="B355" s="9" t="s">
        <v>136</v>
      </c>
      <c r="C355" s="23" t="n">
        <f aca="false">Inputs!$C$95</f>
        <v>0.0075</v>
      </c>
    </row>
    <row r="356" customFormat="false" ht="15" hidden="false" customHeight="false" outlineLevel="0" collapsed="false">
      <c r="B356" s="9" t="s">
        <v>30</v>
      </c>
      <c r="C356" s="22" t="n">
        <f aca="false">Inputs!$C$18</f>
        <v>1.4</v>
      </c>
    </row>
    <row r="357" customFormat="false" ht="15" hidden="false" customHeight="false" outlineLevel="0" collapsed="false">
      <c r="B357" s="9" t="s">
        <v>137</v>
      </c>
      <c r="C357" s="19" t="n">
        <f aca="false">Inputs!$C$43</f>
        <v>0.9</v>
      </c>
    </row>
    <row r="358" customFormat="false" ht="15" hidden="false" customHeight="false" outlineLevel="0" collapsed="false">
      <c r="B358" s="9" t="s">
        <v>138</v>
      </c>
      <c r="C358" s="24" t="n">
        <f aca="false">Inputs!$C$49</f>
        <v>120</v>
      </c>
    </row>
    <row r="359" customFormat="false" ht="15" hidden="false" customHeight="false" outlineLevel="0" collapsed="false">
      <c r="B359" s="9" t="s">
        <v>139</v>
      </c>
      <c r="C359" s="24" t="n">
        <f aca="false">Inputs!$C$64</f>
        <v>900</v>
      </c>
    </row>
    <row r="360" customFormat="false" ht="15" hidden="false" customHeight="false" outlineLevel="0" collapsed="false">
      <c r="B360" s="9" t="s">
        <v>140</v>
      </c>
      <c r="C360" s="24" t="n">
        <f aca="false">Inputs!$C$6*1000*Inputs!$C$7*12*(1+Inputs!$C$8)^(Inputs!$C$9-1)/1000000</f>
        <v>60.8711509000706</v>
      </c>
    </row>
    <row r="361" customFormat="false" ht="15" hidden="false" customHeight="false" outlineLevel="0" collapsed="false">
      <c r="B361" s="25" t="s">
        <v>141</v>
      </c>
      <c r="C361" s="26"/>
      <c r="E361" s="26" t="n">
        <v>1</v>
      </c>
      <c r="F361" s="26" t="n">
        <v>2</v>
      </c>
      <c r="G361" s="26" t="n">
        <v>3</v>
      </c>
      <c r="H361" s="26" t="n">
        <v>4</v>
      </c>
      <c r="I361" s="26" t="n">
        <v>5</v>
      </c>
      <c r="J361" s="26" t="n">
        <v>6</v>
      </c>
      <c r="K361" s="26" t="n">
        <v>7</v>
      </c>
      <c r="L361" s="26" t="n">
        <v>8</v>
      </c>
      <c r="M361" s="26" t="n">
        <v>9</v>
      </c>
      <c r="N361" s="26" t="n">
        <v>10</v>
      </c>
      <c r="O361" s="26" t="n">
        <v>11</v>
      </c>
    </row>
    <row r="362" customFormat="false" ht="15" hidden="false" customHeight="false" outlineLevel="0" collapsed="false">
      <c r="B362" s="9" t="s">
        <v>142</v>
      </c>
      <c r="E362" s="24" t="n">
        <f aca="false">IF(E$361&lt;=Inputs!$C$22,Inputs!$C$21,Inputs!$C$23*(1+Inputs!$C$24)^(E$361-5)*IF(AND($C$350&lt;&gt;0,E$361&gt;=Inputs!$C$26),1+$C$350,1))</f>
        <v>61</v>
      </c>
      <c r="F362" s="24" t="n">
        <f aca="false">IF(F$361&lt;=Inputs!$C$22,Inputs!$C$21,Inputs!$C$23*(1+Inputs!$C$24)^(F$361-5)*IF(AND($C$350&lt;&gt;0,F$361&gt;=Inputs!$C$26),1+$C$350,1))</f>
        <v>61</v>
      </c>
      <c r="G362" s="24" t="n">
        <f aca="false">IF(G$361&lt;=Inputs!$C$22,Inputs!$C$21,Inputs!$C$23*(1+Inputs!$C$24)^(G$361-5)*IF(AND($C$350&lt;&gt;0,G$361&gt;=Inputs!$C$26),1+$C$350,1))</f>
        <v>61</v>
      </c>
      <c r="H362" s="24" t="n">
        <f aca="false">IF(H$361&lt;=Inputs!$C$22,Inputs!$C$21,Inputs!$C$23*(1+Inputs!$C$24)^(H$361-5)*IF(AND($C$350&lt;&gt;0,H$361&gt;=Inputs!$C$26),1+$C$350,1))</f>
        <v>61</v>
      </c>
      <c r="I362" s="24" t="n">
        <f aca="false">IF(I$361&lt;=Inputs!$C$22,Inputs!$C$21,Inputs!$C$23*(1+Inputs!$C$24)^(I$361-5)*IF(AND($C$350&lt;&gt;0,I$361&gt;=Inputs!$C$26),1+$C$350,1))</f>
        <v>67</v>
      </c>
      <c r="J362" s="24" t="n">
        <f aca="false">IF(J$361&lt;=Inputs!$C$22,Inputs!$C$21,Inputs!$C$23*(1+Inputs!$C$24)^(J$361-5)*IF(AND($C$350&lt;&gt;0,J$361&gt;=Inputs!$C$26),1+$C$350,1))</f>
        <v>68.675</v>
      </c>
      <c r="K362" s="24" t="n">
        <f aca="false">IF(K$361&lt;=Inputs!$C$22,Inputs!$C$21,Inputs!$C$23*(1+Inputs!$C$24)^(K$361-5)*IF(AND($C$350&lt;&gt;0,K$361&gt;=Inputs!$C$26),1+$C$350,1))</f>
        <v>70.391875</v>
      </c>
      <c r="L362" s="24" t="n">
        <f aca="false">IF(L$361&lt;=Inputs!$C$22,Inputs!$C$21,Inputs!$C$23*(1+Inputs!$C$24)^(L$361-5)*IF(AND($C$350&lt;&gt;0,L$361&gt;=Inputs!$C$26),1+$C$350,1))</f>
        <v>72.151671875</v>
      </c>
      <c r="M362" s="24" t="n">
        <f aca="false">IF(M$361&lt;=Inputs!$C$22,Inputs!$C$21,Inputs!$C$23*(1+Inputs!$C$24)^(M$361-5)*IF(AND($C$350&lt;&gt;0,M$361&gt;=Inputs!$C$26),1+$C$350,1))</f>
        <v>73.955463671875</v>
      </c>
      <c r="N362" s="24" t="n">
        <f aca="false">IF(N$361&lt;=Inputs!$C$22,Inputs!$C$21,Inputs!$C$23*(1+Inputs!$C$24)^(N$361-5)*IF(AND($C$350&lt;&gt;0,N$361&gt;=Inputs!$C$26),1+$C$350,1))</f>
        <v>75.8043502636718</v>
      </c>
      <c r="O362" s="24" t="n">
        <f aca="false">IF(O$361&lt;=Inputs!$C$22,Inputs!$C$21,Inputs!$C$23*(1+Inputs!$C$24)^(O$361-5)*IF(AND($C$350&lt;&gt;0,O$361&gt;=Inputs!$C$26),1+$C$350,1))</f>
        <v>77.6994590202636</v>
      </c>
    </row>
    <row r="363" customFormat="false" ht="15" hidden="false" customHeight="false" outlineLevel="0" collapsed="false">
      <c r="B363" s="9" t="s">
        <v>143</v>
      </c>
      <c r="E363" s="24" t="n">
        <f aca="false">Inputs!$C$19*(1+Inputs!$C$20)^(E$361-1)</f>
        <v>74</v>
      </c>
      <c r="F363" s="24" t="n">
        <f aca="false">Inputs!$C$19*(1+Inputs!$C$20)^(F$361-1)</f>
        <v>75.48</v>
      </c>
      <c r="G363" s="24" t="n">
        <f aca="false">Inputs!$C$19*(1+Inputs!$C$20)^(G$361-1)</f>
        <v>76.9896</v>
      </c>
      <c r="H363" s="24" t="n">
        <f aca="false">Inputs!$C$19*(1+Inputs!$C$20)^(H$361-1)</f>
        <v>78.529392</v>
      </c>
      <c r="I363" s="24" t="n">
        <f aca="false">Inputs!$C$19*(1+Inputs!$C$20)^(I$361-1)</f>
        <v>80.09997984</v>
      </c>
      <c r="J363" s="24" t="n">
        <f aca="false">Inputs!$C$19*(1+Inputs!$C$20)^(J$361-1)</f>
        <v>81.7019794368</v>
      </c>
      <c r="K363" s="24" t="n">
        <f aca="false">Inputs!$C$19*(1+Inputs!$C$20)^(K$361-1)</f>
        <v>83.336019025536</v>
      </c>
      <c r="L363" s="24" t="n">
        <f aca="false">Inputs!$C$19*(1+Inputs!$C$20)^(L$361-1)</f>
        <v>85.0027394060467</v>
      </c>
      <c r="M363" s="24" t="n">
        <f aca="false">Inputs!$C$19*(1+Inputs!$C$20)^(M$361-1)</f>
        <v>86.7027941941677</v>
      </c>
      <c r="N363" s="24" t="n">
        <f aca="false">Inputs!$C$19*(1+Inputs!$C$20)^(N$361-1)</f>
        <v>88.436850078051</v>
      </c>
      <c r="O363" s="24" t="n">
        <f aca="false">Inputs!$C$19*(1+Inputs!$C$20)^(O$361-1)</f>
        <v>90.205587079612</v>
      </c>
    </row>
    <row r="364" customFormat="false" ht="15" hidden="false" customHeight="false" outlineLevel="0" collapsed="false">
      <c r="B364" s="9" t="s">
        <v>144</v>
      </c>
      <c r="E364" s="27" t="n">
        <f aca="false">(1+Inputs!$C$11)^(E$361-1)</f>
        <v>1</v>
      </c>
      <c r="F364" s="27" t="n">
        <f aca="false">(1+Inputs!$C$11)^(F$361-1)</f>
        <v>1.03</v>
      </c>
      <c r="G364" s="27" t="n">
        <f aca="false">(1+Inputs!$C$11)^(G$361-1)</f>
        <v>1.0609</v>
      </c>
      <c r="H364" s="27" t="n">
        <f aca="false">(1+Inputs!$C$11)^(H$361-1)</f>
        <v>1.092727</v>
      </c>
      <c r="I364" s="27" t="n">
        <f aca="false">(1+Inputs!$C$11)^(I$361-1)</f>
        <v>1.12550881</v>
      </c>
      <c r="J364" s="27" t="n">
        <f aca="false">(1+Inputs!$C$11)^(J$361-1)</f>
        <v>1.1592740743</v>
      </c>
      <c r="K364" s="27" t="n">
        <f aca="false">(1+Inputs!$C$11)^(K$361-1)</f>
        <v>1.194052296529</v>
      </c>
      <c r="L364" s="27" t="n">
        <f aca="false">(1+Inputs!$C$11)^(L$361-1)</f>
        <v>1.22987386542487</v>
      </c>
      <c r="M364" s="27" t="n">
        <f aca="false">(1+Inputs!$C$11)^(M$361-1)</f>
        <v>1.26677008138762</v>
      </c>
      <c r="N364" s="27" t="n">
        <f aca="false">(1+Inputs!$C$11)^(N$361-1)</f>
        <v>1.30477318382925</v>
      </c>
      <c r="O364" s="27" t="n">
        <f aca="false">(1+Inputs!$C$11)^(O$361-1)</f>
        <v>1.34391637934412</v>
      </c>
    </row>
    <row r="365" customFormat="false" ht="15" hidden="false" customHeight="false" outlineLevel="0" collapsed="false">
      <c r="B365" s="9" t="s">
        <v>145</v>
      </c>
      <c r="E365" s="19" t="n">
        <f aca="false">IF(OR(E$361&lt;=Inputs!$C$9,$C$349="renew"),IF(AND($C$352&gt;0,E$361&gt;=$C$352),$C$353,Inputs!$C$16),IF($C$349="stranded",0,Inputs!$C$16))</f>
        <v>0.8</v>
      </c>
      <c r="F365" s="19" t="n">
        <f aca="false">IF(OR(F$361&lt;=Inputs!$C$9,$C$349="renew"),IF(AND($C$352&gt;0,F$361&gt;=$C$352),$C$353,Inputs!$C$16),IF($C$349="stranded",0,Inputs!$C$16))</f>
        <v>0.8</v>
      </c>
      <c r="G365" s="19" t="n">
        <f aca="false">IF(OR(G$361&lt;=Inputs!$C$9,$C$349="renew"),IF(AND($C$352&gt;0,G$361&gt;=$C$352),$C$353,Inputs!$C$16),IF($C$349="stranded",0,Inputs!$C$16))</f>
        <v>0.8</v>
      </c>
      <c r="H365" s="19" t="n">
        <f aca="false">IF(OR(H$361&lt;=Inputs!$C$9,$C$349="renew"),IF(AND($C$352&gt;0,H$361&gt;=$C$352),$C$353,Inputs!$C$16),IF($C$349="stranded",0,Inputs!$C$16))</f>
        <v>0.8</v>
      </c>
      <c r="I365" s="19" t="n">
        <f aca="false">IF(OR(I$361&lt;=Inputs!$C$9,$C$349="renew"),IF(AND($C$352&gt;0,I$361&gt;=$C$352),$C$353,Inputs!$C$16),IF($C$349="stranded",0,Inputs!$C$16))</f>
        <v>0.8</v>
      </c>
      <c r="J365" s="19" t="n">
        <f aca="false">IF(OR(J$361&lt;=Inputs!$C$9,$C$349="renew"),IF(AND($C$352&gt;0,J$361&gt;=$C$352),$C$353,Inputs!$C$16),IF($C$349="stranded",0,Inputs!$C$16))</f>
        <v>0.8</v>
      </c>
      <c r="K365" s="19" t="n">
        <f aca="false">IF(OR(K$361&lt;=Inputs!$C$9,$C$349="renew"),IF(AND($C$352&gt;0,K$361&gt;=$C$352),$C$353,Inputs!$C$16),IF($C$349="stranded",0,Inputs!$C$16))</f>
        <v>0.8</v>
      </c>
      <c r="L365" s="19" t="n">
        <f aca="false">IF(OR(L$361&lt;=Inputs!$C$9,$C$349="renew"),IF(AND($C$352&gt;0,L$361&gt;=$C$352),$C$353,Inputs!$C$16),IF($C$349="stranded",0,Inputs!$C$16))</f>
        <v>0.8</v>
      </c>
      <c r="M365" s="19" t="n">
        <f aca="false">IF(OR(M$361&lt;=Inputs!$C$9,$C$349="renew"),IF(AND($C$352&gt;0,M$361&gt;=$C$352),$C$353,Inputs!$C$16),IF($C$349="stranded",0,Inputs!$C$16))</f>
        <v>0.8</v>
      </c>
      <c r="N365" s="19" t="n">
        <f aca="false">IF(OR(N$361&lt;=Inputs!$C$9,$C$349="renew"),IF(AND($C$352&gt;0,N$361&gt;=$C$352),$C$353,Inputs!$C$16),IF($C$349="stranded",0,Inputs!$C$16))</f>
        <v>0.8</v>
      </c>
      <c r="O365" s="19" t="n">
        <f aca="false">IF(OR(O$361&lt;=Inputs!$C$9,$C$349="renew"),IF(AND($C$352&gt;0,O$361&gt;=$C$352),$C$353,Inputs!$C$16),IF($C$349="stranded",0,Inputs!$C$16))</f>
        <v>0.8</v>
      </c>
    </row>
    <row r="366" customFormat="false" ht="15" hidden="false" customHeight="false" outlineLevel="0" collapsed="false">
      <c r="B366" s="9" t="s">
        <v>146</v>
      </c>
      <c r="E366" s="22" t="n">
        <f aca="false">IF(OR(E$361&lt;=Inputs!$C$9,$C$349="renew"),IF(AND($C$352&gt;0,E$361&gt;=$C$352),$C$354,$C$356),IF($C$349="retrofit",Inputs!$C$47,IF($C$349="relet",Inputs!$C$53,0)))</f>
        <v>1.4</v>
      </c>
      <c r="F366" s="22" t="n">
        <f aca="false">IF(OR(F$361&lt;=Inputs!$C$9,$C$349="renew"),IF(AND($C$352&gt;0,F$361&gt;=$C$352),$C$354,$C$356),IF($C$349="retrofit",Inputs!$C$47,IF($C$349="relet",Inputs!$C$53,0)))</f>
        <v>1.4</v>
      </c>
      <c r="G366" s="22" t="n">
        <f aca="false">IF(OR(G$361&lt;=Inputs!$C$9,$C$349="renew"),IF(AND($C$352&gt;0,G$361&gt;=$C$352),$C$354,$C$356),IF($C$349="retrofit",Inputs!$C$47,IF($C$349="relet",Inputs!$C$53,0)))</f>
        <v>1.4</v>
      </c>
      <c r="H366" s="22" t="n">
        <f aca="false">IF(OR(H$361&lt;=Inputs!$C$9,$C$349="renew"),IF(AND($C$352&gt;0,H$361&gt;=$C$352),$C$354,$C$356),IF($C$349="retrofit",Inputs!$C$47,IF($C$349="relet",Inputs!$C$53,0)))</f>
        <v>1.4</v>
      </c>
      <c r="I366" s="22" t="n">
        <f aca="false">IF(OR(I$361&lt;=Inputs!$C$9,$C$349="renew"),IF(AND($C$352&gt;0,I$361&gt;=$C$352),$C$354,$C$356),IF($C$349="retrofit",Inputs!$C$47,IF($C$349="relet",Inputs!$C$53,0)))</f>
        <v>1.4</v>
      </c>
      <c r="J366" s="22" t="n">
        <f aca="false">IF(OR(J$361&lt;=Inputs!$C$9,$C$349="renew"),IF(AND($C$352&gt;0,J$361&gt;=$C$352),$C$354,$C$356),IF($C$349="retrofit",Inputs!$C$47,IF($C$349="relet",Inputs!$C$53,0)))</f>
        <v>1.4</v>
      </c>
      <c r="K366" s="22" t="n">
        <f aca="false">IF(OR(K$361&lt;=Inputs!$C$9,$C$349="renew"),IF(AND($C$352&gt;0,K$361&gt;=$C$352),$C$354,$C$356),IF($C$349="retrofit",Inputs!$C$47,IF($C$349="relet",Inputs!$C$53,0)))</f>
        <v>1.4</v>
      </c>
      <c r="L366" s="22" t="n">
        <f aca="false">IF(OR(L$361&lt;=Inputs!$C$9,$C$349="renew"),IF(AND($C$352&gt;0,L$361&gt;=$C$352),$C$354,$C$356),IF($C$349="retrofit",Inputs!$C$47,IF($C$349="relet",Inputs!$C$53,0)))</f>
        <v>1.4</v>
      </c>
      <c r="M366" s="22" t="n">
        <f aca="false">IF(OR(M$361&lt;=Inputs!$C$9,$C$349="renew"),IF(AND($C$352&gt;0,M$361&gt;=$C$352),$C$354,$C$356),IF($C$349="retrofit",Inputs!$C$47,IF($C$349="relet",Inputs!$C$53,0)))</f>
        <v>1.4</v>
      </c>
      <c r="N366" s="22" t="n">
        <f aca="false">IF(OR(N$361&lt;=Inputs!$C$9,$C$349="renew"),IF(AND($C$352&gt;0,N$361&gt;=$C$352),$C$354,$C$356),IF($C$349="retrofit",Inputs!$C$47,IF($C$349="relet",Inputs!$C$53,0)))</f>
        <v>1.4</v>
      </c>
      <c r="O366" s="22" t="n">
        <f aca="false">IF(OR(O$361&lt;=Inputs!$C$9,$C$349="renew"),IF(AND($C$352&gt;0,O$361&gt;=$C$352),$C$354,$C$356),IF($C$349="retrofit",Inputs!$C$47,IF($C$349="relet",Inputs!$C$53,0)))</f>
        <v>1.4</v>
      </c>
    </row>
    <row r="367" customFormat="false" ht="15" hidden="false" customHeight="false" outlineLevel="0" collapsed="false">
      <c r="B367" s="9" t="s">
        <v>147</v>
      </c>
      <c r="E367" s="21" t="n">
        <f aca="false">IF(OR(E$361&lt;=Inputs!$C$9,$C$349="renew"),1,IF($C$349="retrofit",IF(E$361-Inputs!$C$9=1,0,1),IF($C$349="relet",CHOOSE(MIN(E$361-Inputs!$C$9,3),Inputs!$C$50,Inputs!$C$51,Inputs!$C$52),0)))</f>
        <v>1</v>
      </c>
      <c r="F367" s="21" t="n">
        <f aca="false">IF(OR(F$361&lt;=Inputs!$C$9,$C$349="renew"),1,IF($C$349="retrofit",IF(F$361-Inputs!$C$9=1,0,1),IF($C$349="relet",CHOOSE(MIN(F$361-Inputs!$C$9,3),Inputs!$C$50,Inputs!$C$51,Inputs!$C$52),0)))</f>
        <v>1</v>
      </c>
      <c r="G367" s="21" t="n">
        <f aca="false">IF(OR(G$361&lt;=Inputs!$C$9,$C$349="renew"),1,IF($C$349="retrofit",IF(G$361-Inputs!$C$9=1,0,1),IF($C$349="relet",CHOOSE(MIN(G$361-Inputs!$C$9,3),Inputs!$C$50,Inputs!$C$51,Inputs!$C$52),0)))</f>
        <v>1</v>
      </c>
      <c r="H367" s="21" t="n">
        <f aca="false">IF(OR(H$361&lt;=Inputs!$C$9,$C$349="renew"),1,IF($C$349="retrofit",IF(H$361-Inputs!$C$9=1,0,1),IF($C$349="relet",CHOOSE(MIN(H$361-Inputs!$C$9,3),Inputs!$C$50,Inputs!$C$51,Inputs!$C$52),0)))</f>
        <v>1</v>
      </c>
      <c r="I367" s="21" t="n">
        <f aca="false">IF(OR(I$361&lt;=Inputs!$C$9,$C$349="renew"),1,IF($C$349="retrofit",IF(I$361-Inputs!$C$9=1,0,1),IF($C$349="relet",CHOOSE(MIN(I$361-Inputs!$C$9,3),Inputs!$C$50,Inputs!$C$51,Inputs!$C$52),0)))</f>
        <v>1</v>
      </c>
      <c r="J367" s="21" t="n">
        <f aca="false">IF(OR(J$361&lt;=Inputs!$C$9,$C$349="renew"),1,IF($C$349="retrofit",IF(J$361-Inputs!$C$9=1,0,1),IF($C$349="relet",CHOOSE(MIN(J$361-Inputs!$C$9,3),Inputs!$C$50,Inputs!$C$51,Inputs!$C$52),0)))</f>
        <v>1</v>
      </c>
      <c r="K367" s="21" t="n">
        <f aca="false">IF(OR(K$361&lt;=Inputs!$C$9,$C$349="renew"),1,IF($C$349="retrofit",IF(K$361-Inputs!$C$9=1,0,1),IF($C$349="relet",CHOOSE(MIN(K$361-Inputs!$C$9,3),Inputs!$C$50,Inputs!$C$51,Inputs!$C$52),0)))</f>
        <v>1</v>
      </c>
      <c r="L367" s="21" t="n">
        <f aca="false">IF(OR(L$361&lt;=Inputs!$C$9,$C$349="renew"),1,IF($C$349="retrofit",IF(L$361-Inputs!$C$9=1,0,1),IF($C$349="relet",CHOOSE(MIN(L$361-Inputs!$C$9,3),Inputs!$C$50,Inputs!$C$51,Inputs!$C$52),0)))</f>
        <v>1</v>
      </c>
      <c r="M367" s="21" t="n">
        <f aca="false">IF(OR(M$361&lt;=Inputs!$C$9,$C$349="renew"),1,IF($C$349="retrofit",IF(M$361-Inputs!$C$9=1,0,1),IF($C$349="relet",CHOOSE(MIN(M$361-Inputs!$C$9,3),Inputs!$C$50,Inputs!$C$51,Inputs!$C$52),0)))</f>
        <v>1</v>
      </c>
      <c r="N367" s="21" t="n">
        <f aca="false">IF(OR(N$361&lt;=Inputs!$C$9,$C$349="renew"),1,IF($C$349="retrofit",IF(N$361-Inputs!$C$9=1,0,1),IF($C$349="relet",CHOOSE(MIN(N$361-Inputs!$C$9,3),Inputs!$C$50,Inputs!$C$51,Inputs!$C$52),0)))</f>
        <v>1</v>
      </c>
      <c r="O367" s="21" t="n">
        <f aca="false">IF(OR(O$361&lt;=Inputs!$C$9,$C$349="renew"),1,IF($C$349="retrofit",IF(O$361-Inputs!$C$9=1,0,1),IF($C$349="relet",CHOOSE(MIN(O$361-Inputs!$C$9,3),Inputs!$C$50,Inputs!$C$51,Inputs!$C$52),0)))</f>
        <v>1</v>
      </c>
    </row>
    <row r="368" customFormat="false" ht="15" hidden="false" customHeight="false" outlineLevel="0" collapsed="false">
      <c r="B368" s="9" t="s">
        <v>148</v>
      </c>
      <c r="E368" s="28" t="n">
        <f aca="false">Inputs!$C$6*1000*E365*E367*8760/1000</f>
        <v>224256</v>
      </c>
      <c r="F368" s="28" t="n">
        <f aca="false">Inputs!$C$6*1000*F365*F367*8760/1000</f>
        <v>224256</v>
      </c>
      <c r="G368" s="28" t="n">
        <f aca="false">Inputs!$C$6*1000*G365*G367*8760/1000</f>
        <v>224256</v>
      </c>
      <c r="H368" s="28" t="n">
        <f aca="false">Inputs!$C$6*1000*H365*H367*8760/1000</f>
        <v>224256</v>
      </c>
      <c r="I368" s="28" t="n">
        <f aca="false">Inputs!$C$6*1000*I365*I367*8760/1000</f>
        <v>224256</v>
      </c>
      <c r="J368" s="28" t="n">
        <f aca="false">Inputs!$C$6*1000*J365*J367*8760/1000</f>
        <v>224256</v>
      </c>
      <c r="K368" s="28" t="n">
        <f aca="false">Inputs!$C$6*1000*K365*K367*8760/1000</f>
        <v>224256</v>
      </c>
      <c r="L368" s="28" t="n">
        <f aca="false">Inputs!$C$6*1000*L365*L367*8760/1000</f>
        <v>224256</v>
      </c>
      <c r="M368" s="28" t="n">
        <f aca="false">Inputs!$C$6*1000*M365*M367*8760/1000</f>
        <v>224256</v>
      </c>
      <c r="N368" s="28" t="n">
        <f aca="false">Inputs!$C$6*1000*N365*N367*8760/1000</f>
        <v>224256</v>
      </c>
      <c r="O368" s="28" t="n">
        <f aca="false">Inputs!$C$6*1000*O365*O367*8760/1000</f>
        <v>224256</v>
      </c>
    </row>
    <row r="369" customFormat="false" ht="15" hidden="false" customHeight="false" outlineLevel="0" collapsed="false">
      <c r="B369" s="9" t="s">
        <v>149</v>
      </c>
      <c r="E369" s="24" t="n">
        <f aca="false">IF(E$361&lt;=Inputs!$C$9,Inputs!$C$6*1000*Inputs!$C$7*12*(1+Inputs!$C$8)^(E$361-1)/1000000,IF($C$349="renew",$C$360*$C$357*(1+Inputs!$C$8)^(E$361-Inputs!$C$9-1),IF($C$349="retrofit",IF(E$361-Inputs!$C$9=1,0,Inputs!$C$6*1000*Inputs!$C$46*12*(1+Inputs!$C$8)^(E$361-Inputs!$C$9-2)/1000000),IF($C$349="relet",Inputs!$C$6*1000*E367*$C$358*12*(1+Inputs!$C$8)^(E$361-Inputs!$C$9-2)/1000000,0))))</f>
        <v>52.992</v>
      </c>
      <c r="F369" s="24" t="n">
        <f aca="false">IF(F$361&lt;=Inputs!$C$9,Inputs!$C$6*1000*Inputs!$C$7*12*(1+Inputs!$C$8)^(F$361-1)/1000000,IF($C$349="renew",$C$360*$C$357*(1+Inputs!$C$8)^(F$361-Inputs!$C$9-1),IF($C$349="retrofit",IF(F$361-Inputs!$C$9=1,0,Inputs!$C$6*1000*Inputs!$C$46*12*(1+Inputs!$C$8)^(F$361-Inputs!$C$9-2)/1000000),IF($C$349="relet",Inputs!$C$6*1000*F367*$C$358*12*(1+Inputs!$C$8)^(F$361-Inputs!$C$9-2)/1000000,0))))</f>
        <v>54.05184</v>
      </c>
      <c r="G369" s="24" t="n">
        <f aca="false">IF(G$361&lt;=Inputs!$C$9,Inputs!$C$6*1000*Inputs!$C$7*12*(1+Inputs!$C$8)^(G$361-1)/1000000,IF($C$349="renew",$C$360*$C$357*(1+Inputs!$C$8)^(G$361-Inputs!$C$9-1),IF($C$349="retrofit",IF(G$361-Inputs!$C$9=1,0,Inputs!$C$6*1000*Inputs!$C$46*12*(1+Inputs!$C$8)^(G$361-Inputs!$C$9-2)/1000000),IF($C$349="relet",Inputs!$C$6*1000*G367*$C$358*12*(1+Inputs!$C$8)^(G$361-Inputs!$C$9-2)/1000000,0))))</f>
        <v>55.1328768</v>
      </c>
      <c r="H369" s="24" t="n">
        <f aca="false">IF(H$361&lt;=Inputs!$C$9,Inputs!$C$6*1000*Inputs!$C$7*12*(1+Inputs!$C$8)^(H$361-1)/1000000,IF($C$349="renew",$C$360*$C$357*(1+Inputs!$C$8)^(H$361-Inputs!$C$9-1),IF($C$349="retrofit",IF(H$361-Inputs!$C$9=1,0,Inputs!$C$6*1000*Inputs!$C$46*12*(1+Inputs!$C$8)^(H$361-Inputs!$C$9-2)/1000000),IF($C$349="relet",Inputs!$C$6*1000*H367*$C$358*12*(1+Inputs!$C$8)^(H$361-Inputs!$C$9-2)/1000000,0))))</f>
        <v>56.235534336</v>
      </c>
      <c r="I369" s="24" t="n">
        <f aca="false">IF(I$361&lt;=Inputs!$C$9,Inputs!$C$6*1000*Inputs!$C$7*12*(1+Inputs!$C$8)^(I$361-1)/1000000,IF($C$349="renew",$C$360*$C$357*(1+Inputs!$C$8)^(I$361-Inputs!$C$9-1),IF($C$349="retrofit",IF(I$361-Inputs!$C$9=1,0,Inputs!$C$6*1000*Inputs!$C$46*12*(1+Inputs!$C$8)^(I$361-Inputs!$C$9-2)/1000000),IF($C$349="relet",Inputs!$C$6*1000*I367*$C$358*12*(1+Inputs!$C$8)^(I$361-Inputs!$C$9-2)/1000000,0))))</f>
        <v>57.36024502272</v>
      </c>
      <c r="J369" s="24" t="n">
        <f aca="false">IF(J$361&lt;=Inputs!$C$9,Inputs!$C$6*1000*Inputs!$C$7*12*(1+Inputs!$C$8)^(J$361-1)/1000000,IF($C$349="renew",$C$360*$C$357*(1+Inputs!$C$8)^(J$361-Inputs!$C$9-1),IF($C$349="retrofit",IF(J$361-Inputs!$C$9=1,0,Inputs!$C$6*1000*Inputs!$C$46*12*(1+Inputs!$C$8)^(J$361-Inputs!$C$9-2)/1000000),IF($C$349="relet",Inputs!$C$6*1000*J367*$C$358*12*(1+Inputs!$C$8)^(J$361-Inputs!$C$9-2)/1000000,0))))</f>
        <v>58.5074499231744</v>
      </c>
      <c r="K369" s="24" t="n">
        <f aca="false">IF(K$361&lt;=Inputs!$C$9,Inputs!$C$6*1000*Inputs!$C$7*12*(1+Inputs!$C$8)^(K$361-1)/1000000,IF($C$349="renew",$C$360*$C$357*(1+Inputs!$C$8)^(K$361-Inputs!$C$9-1),IF($C$349="retrofit",IF(K$361-Inputs!$C$9=1,0,Inputs!$C$6*1000*Inputs!$C$46*12*(1+Inputs!$C$8)^(K$361-Inputs!$C$9-2)/1000000),IF($C$349="relet",Inputs!$C$6*1000*K367*$C$358*12*(1+Inputs!$C$8)^(K$361-Inputs!$C$9-2)/1000000,0))))</f>
        <v>59.6775989216379</v>
      </c>
      <c r="L369" s="24" t="n">
        <f aca="false">IF(L$361&lt;=Inputs!$C$9,Inputs!$C$6*1000*Inputs!$C$7*12*(1+Inputs!$C$8)^(L$361-1)/1000000,IF($C$349="renew",$C$360*$C$357*(1+Inputs!$C$8)^(L$361-Inputs!$C$9-1),IF($C$349="retrofit",IF(L$361-Inputs!$C$9=1,0,Inputs!$C$6*1000*Inputs!$C$46*12*(1+Inputs!$C$8)^(L$361-Inputs!$C$9-2)/1000000),IF($C$349="relet",Inputs!$C$6*1000*L367*$C$358*12*(1+Inputs!$C$8)^(L$361-Inputs!$C$9-2)/1000000,0))))</f>
        <v>60.8711509000706</v>
      </c>
      <c r="M369" s="24" t="n">
        <f aca="false">IF(M$361&lt;=Inputs!$C$9,Inputs!$C$6*1000*Inputs!$C$7*12*(1+Inputs!$C$8)^(M$361-1)/1000000,IF($C$349="renew",$C$360*$C$357*(1+Inputs!$C$8)^(M$361-Inputs!$C$9-1),IF($C$349="retrofit",IF(M$361-Inputs!$C$9=1,0,Inputs!$C$6*1000*Inputs!$C$46*12*(1+Inputs!$C$8)^(M$361-Inputs!$C$9-2)/1000000),IF($C$349="relet",Inputs!$C$6*1000*M367*$C$358*12*(1+Inputs!$C$8)^(M$361-Inputs!$C$9-2)/1000000,0))))</f>
        <v>54.7840358100636</v>
      </c>
      <c r="N369" s="24" t="n">
        <f aca="false">IF(N$361&lt;=Inputs!$C$9,Inputs!$C$6*1000*Inputs!$C$7*12*(1+Inputs!$C$8)^(N$361-1)/1000000,IF($C$349="renew",$C$360*$C$357*(1+Inputs!$C$8)^(N$361-Inputs!$C$9-1),IF($C$349="retrofit",IF(N$361-Inputs!$C$9=1,0,Inputs!$C$6*1000*Inputs!$C$46*12*(1+Inputs!$C$8)^(N$361-Inputs!$C$9-2)/1000000),IF($C$349="relet",Inputs!$C$6*1000*N367*$C$358*12*(1+Inputs!$C$8)^(N$361-Inputs!$C$9-2)/1000000,0))))</f>
        <v>55.8797165262649</v>
      </c>
      <c r="O369" s="24" t="n">
        <f aca="false">IF(O$361&lt;=Inputs!$C$9,Inputs!$C$6*1000*Inputs!$C$7*12*(1+Inputs!$C$8)^(O$361-1)/1000000,IF($C$349="renew",$C$360*$C$357*(1+Inputs!$C$8)^(O$361-Inputs!$C$9-1),IF($C$349="retrofit",IF(O$361-Inputs!$C$9=1,0,Inputs!$C$6*1000*Inputs!$C$46*12*(1+Inputs!$C$8)^(O$361-Inputs!$C$9-2)/1000000),IF($C$349="relet",Inputs!$C$6*1000*O367*$C$358*12*(1+Inputs!$C$8)^(O$361-Inputs!$C$9-2)/1000000,0))))</f>
        <v>56.9973108567902</v>
      </c>
    </row>
    <row r="370" customFormat="false" ht="15" hidden="false" customHeight="false" outlineLevel="0" collapsed="false">
      <c r="B370" s="9" t="s">
        <v>150</v>
      </c>
      <c r="E370" s="24" t="n">
        <f aca="false">IF(OR(E$361&lt;=Inputs!$C$9,$C$349="renew"),E368*(Inputs!$C$17*E363-E366*E362)/1000000,E368*E366*Inputs!$C$27/1000000)</f>
        <v>2.4219648</v>
      </c>
      <c r="F370" s="24" t="n">
        <f aca="false">IF(OR(F$361&lt;=Inputs!$C$9,$C$349="renew"),F368*(Inputs!$C$17*F363-F366*F362)/1000000,F368*F366*Inputs!$C$27/1000000)</f>
        <v>2.853433344</v>
      </c>
      <c r="G370" s="24" t="n">
        <f aca="false">IF(OR(G$361&lt;=Inputs!$C$9,$C$349="renew"),G368*(Inputs!$C$17*G363-G366*G362)/1000000,G368*G366*Inputs!$C$27/1000000)</f>
        <v>3.29353125888</v>
      </c>
      <c r="H370" s="24" t="n">
        <f aca="false">IF(OR(H$361&lt;=Inputs!$C$9,$C$349="renew"),H368*(Inputs!$C$17*H363-H366*H362)/1000000,H368*H366*Inputs!$C$27/1000000)</f>
        <v>3.74243113205761</v>
      </c>
      <c r="I370" s="24" t="n">
        <f aca="false">IF(OR(I$361&lt;=Inputs!$C$9,$C$349="renew"),I368*(Inputs!$C$17*I363-I366*I362)/1000000,I368*I366*Inputs!$C$27/1000000)</f>
        <v>2.31655860269875</v>
      </c>
      <c r="J370" s="24" t="n">
        <f aca="false">IF(OR(J$361&lt;=Inputs!$C$9,$C$349="renew"),J368*(Inputs!$C$17*J363-J366*J362)/1000000,J368*J366*Inputs!$C$27/1000000)</f>
        <v>2.25771371075273</v>
      </c>
      <c r="K370" s="24" t="n">
        <f aca="false">IF(OR(K$361&lt;=Inputs!$C$9,$C$349="renew"),K368*(Inputs!$C$17*K363-K366*K362)/1000000,K368*K366*Inputs!$C$27/1000000)</f>
        <v>2.19506251936779</v>
      </c>
      <c r="L370" s="24" t="n">
        <f aca="false">IF(OR(L$361&lt;=Inputs!$C$9,$C$349="renew"),L368*(Inputs!$C$17*L363-L366*L362)/1000000,L368*L366*Inputs!$C$27/1000000)</f>
        <v>2.12846316751515</v>
      </c>
      <c r="M370" s="24" t="n">
        <f aca="false">IF(OR(M$361&lt;=Inputs!$C$9,$C$349="renew"),M368*(Inputs!$C$17*M363-M366*M362)/1000000,M368*M366*Inputs!$C$27/1000000)</f>
        <v>2.05776931356946</v>
      </c>
      <c r="N370" s="24" t="n">
        <f aca="false">IF(OR(N$361&lt;=Inputs!$C$9,$C$349="renew"),N368*(Inputs!$C$17*N363-N366*N362)/1000000,N368*N366*Inputs!$C$27/1000000)</f>
        <v>1.98283000461245</v>
      </c>
      <c r="O370" s="24" t="n">
        <f aca="false">IF(OR(O$361&lt;=Inputs!$C$9,$C$349="renew"),O368*(Inputs!$C$17*O363-O366*O362)/1000000,O368*O366*Inputs!$C$27/1000000)</f>
        <v>1.90348954209559</v>
      </c>
    </row>
    <row r="371" customFormat="false" ht="15" hidden="false" customHeight="false" outlineLevel="0" collapsed="false">
      <c r="B371" s="9" t="s">
        <v>151</v>
      </c>
      <c r="E371" s="24" t="n">
        <f aca="false">Inputs!$C$10*E364*IF(OR(E$361&lt;=Inputs!$C$9,$C$349="renew"),1,IF($C$349="retrofit",IF(E$361-Inputs!$C$9=1,Inputs!$C$48,1),IF($C$349="relet",Inputs!$C$54,Inputs!$C$56)))</f>
        <v>4.1</v>
      </c>
      <c r="F371" s="24" t="n">
        <f aca="false">Inputs!$C$10*F364*IF(OR(F$361&lt;=Inputs!$C$9,$C$349="renew"),1,IF($C$349="retrofit",IF(F$361-Inputs!$C$9=1,Inputs!$C$48,1),IF($C$349="relet",Inputs!$C$54,Inputs!$C$56)))</f>
        <v>4.223</v>
      </c>
      <c r="G371" s="24" t="n">
        <f aca="false">Inputs!$C$10*G364*IF(OR(G$361&lt;=Inputs!$C$9,$C$349="renew"),1,IF($C$349="retrofit",IF(G$361-Inputs!$C$9=1,Inputs!$C$48,1),IF($C$349="relet",Inputs!$C$54,Inputs!$C$56)))</f>
        <v>4.34969</v>
      </c>
      <c r="H371" s="24" t="n">
        <f aca="false">Inputs!$C$10*H364*IF(OR(H$361&lt;=Inputs!$C$9,$C$349="renew"),1,IF($C$349="retrofit",IF(H$361-Inputs!$C$9=1,Inputs!$C$48,1),IF($C$349="relet",Inputs!$C$54,Inputs!$C$56)))</f>
        <v>4.4801807</v>
      </c>
      <c r="I371" s="24" t="n">
        <f aca="false">Inputs!$C$10*I364*IF(OR(I$361&lt;=Inputs!$C$9,$C$349="renew"),1,IF($C$349="retrofit",IF(I$361-Inputs!$C$9=1,Inputs!$C$48,1),IF($C$349="relet",Inputs!$C$54,Inputs!$C$56)))</f>
        <v>4.614586121</v>
      </c>
      <c r="J371" s="24" t="n">
        <f aca="false">Inputs!$C$10*J364*IF(OR(J$361&lt;=Inputs!$C$9,$C$349="renew"),1,IF($C$349="retrofit",IF(J$361-Inputs!$C$9=1,Inputs!$C$48,1),IF($C$349="relet",Inputs!$C$54,Inputs!$C$56)))</f>
        <v>4.75302370463</v>
      </c>
      <c r="K371" s="24" t="n">
        <f aca="false">Inputs!$C$10*K364*IF(OR(K$361&lt;=Inputs!$C$9,$C$349="renew"),1,IF($C$349="retrofit",IF(K$361-Inputs!$C$9=1,Inputs!$C$48,1),IF($C$349="relet",Inputs!$C$54,Inputs!$C$56)))</f>
        <v>4.8956144157689</v>
      </c>
      <c r="L371" s="24" t="n">
        <f aca="false">Inputs!$C$10*L364*IF(OR(L$361&lt;=Inputs!$C$9,$C$349="renew"),1,IF($C$349="retrofit",IF(L$361-Inputs!$C$9=1,Inputs!$C$48,1),IF($C$349="relet",Inputs!$C$54,Inputs!$C$56)))</f>
        <v>5.04248284824197</v>
      </c>
      <c r="M371" s="24" t="n">
        <f aca="false">Inputs!$C$10*M364*IF(OR(M$361&lt;=Inputs!$C$9,$C$349="renew"),1,IF($C$349="retrofit",IF(M$361-Inputs!$C$9=1,Inputs!$C$48,1),IF($C$349="relet",Inputs!$C$54,Inputs!$C$56)))</f>
        <v>5.19375733368923</v>
      </c>
      <c r="N371" s="24" t="n">
        <f aca="false">Inputs!$C$10*N364*IF(OR(N$361&lt;=Inputs!$C$9,$C$349="renew"),1,IF($C$349="retrofit",IF(N$361-Inputs!$C$9=1,Inputs!$C$48,1),IF($C$349="relet",Inputs!$C$54,Inputs!$C$56)))</f>
        <v>5.3495700536999</v>
      </c>
      <c r="O371" s="24" t="n">
        <f aca="false">Inputs!$C$10*O364*IF(OR(O$361&lt;=Inputs!$C$9,$C$349="renew"),1,IF($C$349="retrofit",IF(O$361-Inputs!$C$9=1,Inputs!$C$48,1),IF($C$349="relet",Inputs!$C$54,Inputs!$C$56)))</f>
        <v>5.5100571553109</v>
      </c>
    </row>
    <row r="372" customFormat="false" ht="15" hidden="false" customHeight="false" outlineLevel="0" collapsed="false">
      <c r="B372" s="9" t="s">
        <v>152</v>
      </c>
      <c r="E372" s="24" t="n">
        <f aca="false">IF(E$361&gt;=$C$351,Inputs!$C$30*1000*Inputs!$C$34*12*(1+Inputs!$C$8)^(E$361-$C$351)/1000000*IF(AND(E$361=$C$351,$C$351&gt;Inputs!$C$33),1-MIN(12,Inputs!$C$35*($C$351-Inputs!$C$33)*12)/12,1),0)</f>
        <v>0</v>
      </c>
      <c r="F372" s="24" t="n">
        <f aca="false">IF(F$361&gt;=$C$351,Inputs!$C$30*1000*Inputs!$C$34*12*(1+Inputs!$C$8)^(F$361-$C$351)/1000000*IF(AND(F$361=$C$351,$C$351&gt;Inputs!$C$33),1-MIN(12,Inputs!$C$35*($C$351-Inputs!$C$33)*12)/12,1),0)</f>
        <v>0</v>
      </c>
      <c r="G372" s="24" t="n">
        <f aca="false">IF(G$361&gt;=$C$351,Inputs!$C$30*1000*Inputs!$C$34*12*(1+Inputs!$C$8)^(G$361-$C$351)/1000000*IF(AND(G$361=$C$351,$C$351&gt;Inputs!$C$33),1-MIN(12,Inputs!$C$35*($C$351-Inputs!$C$33)*12)/12,1),0)</f>
        <v>29.184</v>
      </c>
      <c r="H372" s="24" t="n">
        <f aca="false">IF(H$361&gt;=$C$351,Inputs!$C$30*1000*Inputs!$C$34*12*(1+Inputs!$C$8)^(H$361-$C$351)/1000000*IF(AND(H$361=$C$351,$C$351&gt;Inputs!$C$33),1-MIN(12,Inputs!$C$35*($C$351-Inputs!$C$33)*12)/12,1),0)</f>
        <v>29.76768</v>
      </c>
      <c r="I372" s="24" t="n">
        <f aca="false">IF(I$361&gt;=$C$351,Inputs!$C$30*1000*Inputs!$C$34*12*(1+Inputs!$C$8)^(I$361-$C$351)/1000000*IF(AND(I$361=$C$351,$C$351&gt;Inputs!$C$33),1-MIN(12,Inputs!$C$35*($C$351-Inputs!$C$33)*12)/12,1),0)</f>
        <v>30.3630336</v>
      </c>
      <c r="J372" s="24" t="n">
        <f aca="false">IF(J$361&gt;=$C$351,Inputs!$C$30*1000*Inputs!$C$34*12*(1+Inputs!$C$8)^(J$361-$C$351)/1000000*IF(AND(J$361=$C$351,$C$351&gt;Inputs!$C$33),1-MIN(12,Inputs!$C$35*($C$351-Inputs!$C$33)*12)/12,1),0)</f>
        <v>30.970294272</v>
      </c>
      <c r="K372" s="24" t="n">
        <f aca="false">IF(K$361&gt;=$C$351,Inputs!$C$30*1000*Inputs!$C$34*12*(1+Inputs!$C$8)^(K$361-$C$351)/1000000*IF(AND(K$361=$C$351,$C$351&gt;Inputs!$C$33),1-MIN(12,Inputs!$C$35*($C$351-Inputs!$C$33)*12)/12,1),0)</f>
        <v>31.58970015744</v>
      </c>
      <c r="L372" s="24" t="n">
        <f aca="false">IF(L$361&gt;=$C$351,Inputs!$C$30*1000*Inputs!$C$34*12*(1+Inputs!$C$8)^(L$361-$C$351)/1000000*IF(AND(L$361=$C$351,$C$351&gt;Inputs!$C$33),1-MIN(12,Inputs!$C$35*($C$351-Inputs!$C$33)*12)/12,1),0)</f>
        <v>32.2214941605888</v>
      </c>
      <c r="M372" s="24" t="n">
        <f aca="false">IF(M$361&gt;=$C$351,Inputs!$C$30*1000*Inputs!$C$34*12*(1+Inputs!$C$8)^(M$361-$C$351)/1000000*IF(AND(M$361=$C$351,$C$351&gt;Inputs!$C$33),1-MIN(12,Inputs!$C$35*($C$351-Inputs!$C$33)*12)/12,1),0)</f>
        <v>32.8659240438006</v>
      </c>
      <c r="N372" s="24" t="n">
        <f aca="false">IF(N$361&gt;=$C$351,Inputs!$C$30*1000*Inputs!$C$34*12*(1+Inputs!$C$8)^(N$361-$C$351)/1000000*IF(AND(N$361=$C$351,$C$351&gt;Inputs!$C$33),1-MIN(12,Inputs!$C$35*($C$351-Inputs!$C$33)*12)/12,1),0)</f>
        <v>33.5232425246766</v>
      </c>
      <c r="O372" s="24" t="n">
        <f aca="false">IF(O$361&gt;=$C$351,Inputs!$C$30*1000*Inputs!$C$34*12*(1+Inputs!$C$8)^(O$361-$C$351)/1000000*IF(AND(O$361=$C$351,$C$351&gt;Inputs!$C$33),1-MIN(12,Inputs!$C$35*($C$351-Inputs!$C$33)*12)/12,1),0)</f>
        <v>34.1937073751701</v>
      </c>
    </row>
    <row r="373" customFormat="false" ht="15" hidden="false" customHeight="false" outlineLevel="0" collapsed="false">
      <c r="B373" s="9" t="s">
        <v>153</v>
      </c>
      <c r="E373" s="28" t="n">
        <f aca="false">IF(E$361&gt;=$C$351,Inputs!$C$30*1000*Inputs!$C$16*8760/1000,0)</f>
        <v>0</v>
      </c>
      <c r="F373" s="28" t="n">
        <f aca="false">IF(F$361&gt;=$C$351,Inputs!$C$30*1000*Inputs!$C$16*8760/1000,0)</f>
        <v>0</v>
      </c>
      <c r="G373" s="28" t="n">
        <f aca="false">IF(G$361&gt;=$C$351,Inputs!$C$30*1000*Inputs!$C$16*8760/1000,0)</f>
        <v>112128</v>
      </c>
      <c r="H373" s="28" t="n">
        <f aca="false">IF(H$361&gt;=$C$351,Inputs!$C$30*1000*Inputs!$C$16*8760/1000,0)</f>
        <v>112128</v>
      </c>
      <c r="I373" s="28" t="n">
        <f aca="false">IF(I$361&gt;=$C$351,Inputs!$C$30*1000*Inputs!$C$16*8760/1000,0)</f>
        <v>112128</v>
      </c>
      <c r="J373" s="28" t="n">
        <f aca="false">IF(J$361&gt;=$C$351,Inputs!$C$30*1000*Inputs!$C$16*8760/1000,0)</f>
        <v>112128</v>
      </c>
      <c r="K373" s="28" t="n">
        <f aca="false">IF(K$361&gt;=$C$351,Inputs!$C$30*1000*Inputs!$C$16*8760/1000,0)</f>
        <v>112128</v>
      </c>
      <c r="L373" s="28" t="n">
        <f aca="false">IF(L$361&gt;=$C$351,Inputs!$C$30*1000*Inputs!$C$16*8760/1000,0)</f>
        <v>112128</v>
      </c>
      <c r="M373" s="28" t="n">
        <f aca="false">IF(M$361&gt;=$C$351,Inputs!$C$30*1000*Inputs!$C$16*8760/1000,0)</f>
        <v>112128</v>
      </c>
      <c r="N373" s="28" t="n">
        <f aca="false">IF(N$361&gt;=$C$351,Inputs!$C$30*1000*Inputs!$C$16*8760/1000,0)</f>
        <v>112128</v>
      </c>
      <c r="O373" s="28" t="n">
        <f aca="false">IF(O$361&gt;=$C$351,Inputs!$C$30*1000*Inputs!$C$16*8760/1000,0)</f>
        <v>112128</v>
      </c>
    </row>
    <row r="374" customFormat="false" ht="15" hidden="false" customHeight="false" outlineLevel="0" collapsed="false">
      <c r="B374" s="9" t="s">
        <v>154</v>
      </c>
      <c r="E374" s="24" t="n">
        <f aca="false">E373*Inputs!$C$37*Inputs!$C$27/1000000</f>
        <v>0</v>
      </c>
      <c r="F374" s="24" t="n">
        <f aca="false">F373*Inputs!$C$37*Inputs!$C$27/1000000</f>
        <v>0</v>
      </c>
      <c r="G374" s="24" t="n">
        <f aca="false">G373*Inputs!$C$37*Inputs!$C$27/1000000</f>
        <v>0.4036608</v>
      </c>
      <c r="H374" s="24" t="n">
        <f aca="false">H373*Inputs!$C$37*Inputs!$C$27/1000000</f>
        <v>0.4036608</v>
      </c>
      <c r="I374" s="24" t="n">
        <f aca="false">I373*Inputs!$C$37*Inputs!$C$27/1000000</f>
        <v>0.4036608</v>
      </c>
      <c r="J374" s="24" t="n">
        <f aca="false">J373*Inputs!$C$37*Inputs!$C$27/1000000</f>
        <v>0.4036608</v>
      </c>
      <c r="K374" s="24" t="n">
        <f aca="false">K373*Inputs!$C$37*Inputs!$C$27/1000000</f>
        <v>0.4036608</v>
      </c>
      <c r="L374" s="24" t="n">
        <f aca="false">L373*Inputs!$C$37*Inputs!$C$27/1000000</f>
        <v>0.4036608</v>
      </c>
      <c r="M374" s="24" t="n">
        <f aca="false">M373*Inputs!$C$37*Inputs!$C$27/1000000</f>
        <v>0.4036608</v>
      </c>
      <c r="N374" s="24" t="n">
        <f aca="false">N373*Inputs!$C$37*Inputs!$C$27/1000000</f>
        <v>0.4036608</v>
      </c>
      <c r="O374" s="24" t="n">
        <f aca="false">O373*Inputs!$C$37*Inputs!$C$27/1000000</f>
        <v>0.4036608</v>
      </c>
    </row>
    <row r="375" customFormat="false" ht="15" hidden="false" customHeight="false" outlineLevel="0" collapsed="false">
      <c r="B375" s="9" t="s">
        <v>155</v>
      </c>
      <c r="E375" s="24" t="n">
        <f aca="false">IF(E$361&gt;=$C$351,Inputs!$C$38*E364,0)</f>
        <v>0</v>
      </c>
      <c r="F375" s="24" t="n">
        <f aca="false">IF(F$361&gt;=$C$351,Inputs!$C$38*F364,0)</f>
        <v>0</v>
      </c>
      <c r="G375" s="24" t="n">
        <f aca="false">IF(G$361&gt;=$C$351,Inputs!$C$38*G364,0)</f>
        <v>1.69744</v>
      </c>
      <c r="H375" s="24" t="n">
        <f aca="false">IF(H$361&gt;=$C$351,Inputs!$C$38*H364,0)</f>
        <v>1.7483632</v>
      </c>
      <c r="I375" s="24" t="n">
        <f aca="false">IF(I$361&gt;=$C$351,Inputs!$C$38*I364,0)</f>
        <v>1.800814096</v>
      </c>
      <c r="J375" s="24" t="n">
        <f aca="false">IF(J$361&gt;=$C$351,Inputs!$C$38*J364,0)</f>
        <v>1.85483851888</v>
      </c>
      <c r="K375" s="24" t="n">
        <f aca="false">IF(K$361&gt;=$C$351,Inputs!$C$38*K364,0)</f>
        <v>1.9104836744464</v>
      </c>
      <c r="L375" s="24" t="n">
        <f aca="false">IF(L$361&gt;=$C$351,Inputs!$C$38*L364,0)</f>
        <v>1.96779818467979</v>
      </c>
      <c r="M375" s="24" t="n">
        <f aca="false">IF(M$361&gt;=$C$351,Inputs!$C$38*M364,0)</f>
        <v>2.02683213022019</v>
      </c>
      <c r="N375" s="24" t="n">
        <f aca="false">IF(N$361&gt;=$C$351,Inputs!$C$38*N364,0)</f>
        <v>2.08763709412679</v>
      </c>
      <c r="O375" s="24" t="n">
        <f aca="false">IF(O$361&gt;=$C$351,Inputs!$C$38*O364,0)</f>
        <v>2.1502662069506</v>
      </c>
    </row>
    <row r="376" customFormat="false" ht="15" hidden="false" customHeight="false" outlineLevel="0" collapsed="false">
      <c r="B376" s="9" t="s">
        <v>156</v>
      </c>
      <c r="E376" s="24" t="n">
        <f aca="false">Inputs!$C$12*(E369+E372)</f>
        <v>0.52992</v>
      </c>
      <c r="F376" s="24" t="n">
        <f aca="false">Inputs!$C$12*(F369+F372)</f>
        <v>0.5405184</v>
      </c>
      <c r="G376" s="24" t="n">
        <f aca="false">Inputs!$C$12*(G369+G372)</f>
        <v>0.843168768</v>
      </c>
      <c r="H376" s="24" t="n">
        <f aca="false">Inputs!$C$12*(H369+H372)</f>
        <v>0.86003214336</v>
      </c>
      <c r="I376" s="24" t="n">
        <f aca="false">Inputs!$C$12*(I369+I372)</f>
        <v>0.8772327862272</v>
      </c>
      <c r="J376" s="24" t="n">
        <f aca="false">Inputs!$C$12*(J369+J372)</f>
        <v>0.894777441951744</v>
      </c>
      <c r="K376" s="24" t="n">
        <f aca="false">Inputs!$C$12*(K369+K372)</f>
        <v>0.912672990790779</v>
      </c>
      <c r="L376" s="24" t="n">
        <f aca="false">Inputs!$C$12*(L369+L372)</f>
        <v>0.930926450606595</v>
      </c>
      <c r="M376" s="24" t="n">
        <f aca="false">Inputs!$C$12*(M369+M372)</f>
        <v>0.876499598538642</v>
      </c>
      <c r="N376" s="24" t="n">
        <f aca="false">Inputs!$C$12*(N369+N372)</f>
        <v>0.894029590509414</v>
      </c>
      <c r="O376" s="24" t="n">
        <f aca="false">Inputs!$C$12*(O369+O372)</f>
        <v>0.911910182319603</v>
      </c>
    </row>
    <row r="377" customFormat="false" ht="15" hidden="false" customHeight="false" outlineLevel="0" collapsed="false">
      <c r="B377" s="29" t="s">
        <v>157</v>
      </c>
      <c r="E377" s="30" t="n">
        <f aca="false">E369+E370+E372+E374-E371-E375-E376</f>
        <v>50.7840448</v>
      </c>
      <c r="F377" s="30" t="n">
        <f aca="false">F369+F370+F372+F374-F371-F375-F376</f>
        <v>52.141754944</v>
      </c>
      <c r="G377" s="30" t="n">
        <f aca="false">G369+G370+G372+G374-G371-G375-G376</f>
        <v>81.12377009088</v>
      </c>
      <c r="H377" s="30" t="n">
        <f aca="false">H369+H370+H372+H374-H371-H375-H376</f>
        <v>83.0607302246976</v>
      </c>
      <c r="I377" s="30" t="n">
        <f aca="false">I369+I370+I372+I374-I371-I375-I376</f>
        <v>83.1508650221916</v>
      </c>
      <c r="J377" s="30" t="n">
        <f aca="false">J369+J370+J372+J374-J371-J375-J376</f>
        <v>84.6364790404654</v>
      </c>
      <c r="K377" s="30" t="n">
        <f aca="false">K369+K370+K372+K374-K371-K375-K376</f>
        <v>86.1472513174396</v>
      </c>
      <c r="L377" s="30" t="n">
        <f aca="false">L369+L370+L372+L374-L371-L375-L376</f>
        <v>87.6835615446462</v>
      </c>
      <c r="M377" s="30" t="n">
        <f aca="false">M369+M370+M372+M374-M371-M375-M376</f>
        <v>82.0143009049856</v>
      </c>
      <c r="N377" s="30" t="n">
        <f aca="false">N369+N370+N372+N374-N371-N375-N376</f>
        <v>83.4582131172178</v>
      </c>
      <c r="O377" s="30" t="n">
        <f aca="false">O369+O370+O372+O374-O371-O375-O376</f>
        <v>84.9259350294748</v>
      </c>
    </row>
    <row r="378" customFormat="false" ht="15" hidden="false" customHeight="false" outlineLevel="0" collapsed="false">
      <c r="B378" s="9" t="s">
        <v>158</v>
      </c>
      <c r="E378" s="24" t="n">
        <f aca="false">Inputs!$C$13*E364*IF(AND($C$349="stranded",E$361&gt;Inputs!$C$9),Inputs!$C$56,1)+IF(E$361&gt;=$C$351,Inputs!$C$39*E364,0)</f>
        <v>1.3</v>
      </c>
      <c r="F378" s="24" t="n">
        <f aca="false">Inputs!$C$13*F364*IF(AND($C$349="stranded",F$361&gt;Inputs!$C$9),Inputs!$C$56,1)+IF(F$361&gt;=$C$351,Inputs!$C$39*F364,0)</f>
        <v>1.339</v>
      </c>
      <c r="G378" s="24" t="n">
        <f aca="false">Inputs!$C$13*G364*IF(AND($C$349="stranded",G$361&gt;Inputs!$C$9),Inputs!$C$56,1)+IF(G$361&gt;=$C$351,Inputs!$C$39*G364,0)</f>
        <v>1.90962</v>
      </c>
      <c r="H378" s="24" t="n">
        <f aca="false">Inputs!$C$13*H364*IF(AND($C$349="stranded",H$361&gt;Inputs!$C$9),Inputs!$C$56,1)+IF(H$361&gt;=$C$351,Inputs!$C$39*H364,0)</f>
        <v>1.9669086</v>
      </c>
      <c r="I378" s="24" t="n">
        <f aca="false">Inputs!$C$13*I364*IF(AND($C$349="stranded",I$361&gt;Inputs!$C$9),Inputs!$C$56,1)+IF(I$361&gt;=$C$351,Inputs!$C$39*I364,0)</f>
        <v>2.025915858</v>
      </c>
      <c r="J378" s="24" t="n">
        <f aca="false">Inputs!$C$13*J364*IF(AND($C$349="stranded",J$361&gt;Inputs!$C$9),Inputs!$C$56,1)+IF(J$361&gt;=$C$351,Inputs!$C$39*J364,0)</f>
        <v>2.08669333374</v>
      </c>
      <c r="K378" s="24" t="n">
        <f aca="false">Inputs!$C$13*K364*IF(AND($C$349="stranded",K$361&gt;Inputs!$C$9),Inputs!$C$56,1)+IF(K$361&gt;=$C$351,Inputs!$C$39*K364,0)</f>
        <v>2.1492941337522</v>
      </c>
      <c r="L378" s="24" t="n">
        <f aca="false">Inputs!$C$13*L364*IF(AND($C$349="stranded",L$361&gt;Inputs!$C$9),Inputs!$C$56,1)+IF(L$361&gt;=$C$351,Inputs!$C$39*L364,0)</f>
        <v>2.21377295776477</v>
      </c>
      <c r="M378" s="24" t="n">
        <f aca="false">Inputs!$C$13*M364*IF(AND($C$349="stranded",M$361&gt;Inputs!$C$9),Inputs!$C$56,1)+IF(M$361&gt;=$C$351,Inputs!$C$39*M364,0)</f>
        <v>2.28018614649771</v>
      </c>
      <c r="N378" s="24" t="n">
        <f aca="false">Inputs!$C$13*N364*IF(AND($C$349="stranded",N$361&gt;Inputs!$C$9),Inputs!$C$56,1)+IF(N$361&gt;=$C$351,Inputs!$C$39*N364,0)</f>
        <v>2.34859173089264</v>
      </c>
      <c r="O378" s="24" t="n">
        <f aca="false">Inputs!$C$13*O364*IF(AND($C$349="stranded",O$361&gt;Inputs!$C$9),Inputs!$C$56,1)+IF(O$361&gt;=$C$351,Inputs!$C$39*O364,0)</f>
        <v>2.41904948281942</v>
      </c>
    </row>
    <row r="379" customFormat="false" ht="15" hidden="false" customHeight="false" outlineLevel="0" collapsed="false">
      <c r="B379" s="9" t="s">
        <v>159</v>
      </c>
      <c r="E379" s="24" t="n">
        <f aca="false">IF(OR(E$361=1,E$361=2),Inputs!$C$31*Inputs!$C$30/2,0)+IF(AND(E$361=2,$C$351&gt;Inputs!$C$33),Inputs!$C$31*Inputs!$C$30*Inputs!$C$36*($C$351-Inputs!$C$33),0)</f>
        <v>84</v>
      </c>
      <c r="F379" s="24" t="n">
        <f aca="false">IF(OR(F$361=1,F$361=2),Inputs!$C$31*Inputs!$C$30/2,0)+IF(AND(F$361=2,$C$351&gt;Inputs!$C$33),Inputs!$C$31*Inputs!$C$30*Inputs!$C$36*($C$351-Inputs!$C$33),0)</f>
        <v>84</v>
      </c>
      <c r="G379" s="24" t="n">
        <f aca="false">IF(OR(G$361=1,G$361=2),Inputs!$C$31*Inputs!$C$30/2,0)+IF(AND(G$361=2,$C$351&gt;Inputs!$C$33),Inputs!$C$31*Inputs!$C$30*Inputs!$C$36*($C$351-Inputs!$C$33),0)</f>
        <v>0</v>
      </c>
      <c r="H379" s="24" t="n">
        <f aca="false">IF(OR(H$361=1,H$361=2),Inputs!$C$31*Inputs!$C$30/2,0)+IF(AND(H$361=2,$C$351&gt;Inputs!$C$33),Inputs!$C$31*Inputs!$C$30*Inputs!$C$36*($C$351-Inputs!$C$33),0)</f>
        <v>0</v>
      </c>
      <c r="I379" s="24" t="n">
        <f aca="false">IF(OR(I$361=1,I$361=2),Inputs!$C$31*Inputs!$C$30/2,0)+IF(AND(I$361=2,$C$351&gt;Inputs!$C$33),Inputs!$C$31*Inputs!$C$30*Inputs!$C$36*($C$351-Inputs!$C$33),0)</f>
        <v>0</v>
      </c>
      <c r="J379" s="24" t="n">
        <f aca="false">IF(OR(J$361=1,J$361=2),Inputs!$C$31*Inputs!$C$30/2,0)+IF(AND(J$361=2,$C$351&gt;Inputs!$C$33),Inputs!$C$31*Inputs!$C$30*Inputs!$C$36*($C$351-Inputs!$C$33),0)</f>
        <v>0</v>
      </c>
      <c r="K379" s="24" t="n">
        <f aca="false">IF(OR(K$361=1,K$361=2),Inputs!$C$31*Inputs!$C$30/2,0)+IF(AND(K$361=2,$C$351&gt;Inputs!$C$33),Inputs!$C$31*Inputs!$C$30*Inputs!$C$36*($C$351-Inputs!$C$33),0)</f>
        <v>0</v>
      </c>
      <c r="L379" s="24" t="n">
        <f aca="false">IF(OR(L$361=1,L$361=2),Inputs!$C$31*Inputs!$C$30/2,0)+IF(AND(L$361=2,$C$351&gt;Inputs!$C$33),Inputs!$C$31*Inputs!$C$30*Inputs!$C$36*($C$351-Inputs!$C$33),0)</f>
        <v>0</v>
      </c>
      <c r="M379" s="24" t="n">
        <f aca="false">IF(OR(M$361=1,M$361=2),Inputs!$C$31*Inputs!$C$30/2,0)+IF(AND(M$361=2,$C$351&gt;Inputs!$C$33),Inputs!$C$31*Inputs!$C$30*Inputs!$C$36*($C$351-Inputs!$C$33),0)</f>
        <v>0</v>
      </c>
      <c r="N379" s="24" t="n">
        <f aca="false">IF(OR(N$361=1,N$361=2),Inputs!$C$31*Inputs!$C$30/2,0)+IF(AND(N$361=2,$C$351&gt;Inputs!$C$33),Inputs!$C$31*Inputs!$C$30*Inputs!$C$36*($C$351-Inputs!$C$33),0)</f>
        <v>0</v>
      </c>
      <c r="O379" s="24" t="n">
        <f aca="false">IF(OR(O$361=1,O$361=2),Inputs!$C$31*Inputs!$C$30/2,0)+IF(AND(O$361=2,$C$351&gt;Inputs!$C$33),Inputs!$C$31*Inputs!$C$30*Inputs!$C$36*($C$351-Inputs!$C$33),0)</f>
        <v>0</v>
      </c>
    </row>
    <row r="380" customFormat="false" ht="15" hidden="false" customHeight="false" outlineLevel="0" collapsed="false">
      <c r="B380" s="9" t="s">
        <v>160</v>
      </c>
      <c r="E380" s="24" t="n">
        <f aca="false">IF(E$361=Inputs!$C$9+1,Inputs!$C$6*IF($C$349="renew",Inputs!$C$44,IF($C$349="retrofit",Inputs!$C$45,IF($C$349="relet",Inputs!$C$55,0))),0)</f>
        <v>0</v>
      </c>
      <c r="F380" s="24" t="n">
        <f aca="false">IF(F$361=Inputs!$C$9+1,Inputs!$C$6*IF($C$349="renew",Inputs!$C$44,IF($C$349="retrofit",Inputs!$C$45,IF($C$349="relet",Inputs!$C$55,0))),0)</f>
        <v>0</v>
      </c>
      <c r="G380" s="24" t="n">
        <f aca="false">IF(G$361=Inputs!$C$9+1,Inputs!$C$6*IF($C$349="renew",Inputs!$C$44,IF($C$349="retrofit",Inputs!$C$45,IF($C$349="relet",Inputs!$C$55,0))),0)</f>
        <v>0</v>
      </c>
      <c r="H380" s="24" t="n">
        <f aca="false">IF(H$361=Inputs!$C$9+1,Inputs!$C$6*IF($C$349="renew",Inputs!$C$44,IF($C$349="retrofit",Inputs!$C$45,IF($C$349="relet",Inputs!$C$55,0))),0)</f>
        <v>0</v>
      </c>
      <c r="I380" s="24" t="n">
        <f aca="false">IF(I$361=Inputs!$C$9+1,Inputs!$C$6*IF($C$349="renew",Inputs!$C$44,IF($C$349="retrofit",Inputs!$C$45,IF($C$349="relet",Inputs!$C$55,0))),0)</f>
        <v>0</v>
      </c>
      <c r="J380" s="24" t="n">
        <f aca="false">IF(J$361=Inputs!$C$9+1,Inputs!$C$6*IF($C$349="renew",Inputs!$C$44,IF($C$349="retrofit",Inputs!$C$45,IF($C$349="relet",Inputs!$C$55,0))),0)</f>
        <v>0</v>
      </c>
      <c r="K380" s="24" t="n">
        <f aca="false">IF(K$361=Inputs!$C$9+1,Inputs!$C$6*IF($C$349="renew",Inputs!$C$44,IF($C$349="retrofit",Inputs!$C$45,IF($C$349="relet",Inputs!$C$55,0))),0)</f>
        <v>0</v>
      </c>
      <c r="L380" s="24" t="n">
        <f aca="false">IF(L$361=Inputs!$C$9+1,Inputs!$C$6*IF($C$349="renew",Inputs!$C$44,IF($C$349="retrofit",Inputs!$C$45,IF($C$349="relet",Inputs!$C$55,0))),0)</f>
        <v>0</v>
      </c>
      <c r="M380" s="24" t="n">
        <f aca="false">IF(M$361=Inputs!$C$9+1,Inputs!$C$6*IF($C$349="renew",Inputs!$C$44,IF($C$349="retrofit",Inputs!$C$45,IF($C$349="relet",Inputs!$C$55,0))),0)</f>
        <v>12.8</v>
      </c>
      <c r="N380" s="24" t="n">
        <f aca="false">IF(N$361=Inputs!$C$9+1,Inputs!$C$6*IF($C$349="renew",Inputs!$C$44,IF($C$349="retrofit",Inputs!$C$45,IF($C$349="relet",Inputs!$C$55,0))),0)</f>
        <v>0</v>
      </c>
      <c r="O380" s="24" t="n">
        <f aca="false">IF(O$361=Inputs!$C$9+1,Inputs!$C$6*IF($C$349="renew",Inputs!$C$44,IF($C$349="retrofit",Inputs!$C$45,IF($C$349="relet",Inputs!$C$55,0))),0)</f>
        <v>0</v>
      </c>
    </row>
    <row r="381" customFormat="false" ht="15" hidden="false" customHeight="false" outlineLevel="0" collapsed="false">
      <c r="B381" s="29" t="s">
        <v>161</v>
      </c>
      <c r="E381" s="30" t="n">
        <f aca="false">E377-E378-E379-E380</f>
        <v>-34.5159552</v>
      </c>
      <c r="F381" s="30" t="n">
        <f aca="false">F377-F378-F379-F380</f>
        <v>-33.197245056</v>
      </c>
      <c r="G381" s="30" t="n">
        <f aca="false">G377-G378-G379-G380</f>
        <v>79.21415009088</v>
      </c>
      <c r="H381" s="30" t="n">
        <f aca="false">H377-H378-H379-H380</f>
        <v>81.0938216246976</v>
      </c>
      <c r="I381" s="30" t="n">
        <f aca="false">I377-I378-I379-I380</f>
        <v>81.1249491641916</v>
      </c>
      <c r="J381" s="30" t="n">
        <f aca="false">J377-J378-J379-J380</f>
        <v>82.5497857067254</v>
      </c>
      <c r="K381" s="30" t="n">
        <f aca="false">K377-K378-K379-K380</f>
        <v>83.9979571836874</v>
      </c>
      <c r="L381" s="30" t="n">
        <f aca="false">L377-L378-L379-L380</f>
        <v>85.4697885868815</v>
      </c>
      <c r="M381" s="30" t="n">
        <f aca="false">M377-M378-M379-M380</f>
        <v>66.9341147584878</v>
      </c>
      <c r="N381" s="30" t="n">
        <f aca="false">N377-N378-N379-N380</f>
        <v>81.1096213863251</v>
      </c>
      <c r="O381" s="30" t="n">
        <f aca="false">O377-O378-O379-O380</f>
        <v>82.5068855466554</v>
      </c>
    </row>
    <row r="382" customFormat="false" ht="15" hidden="false" customHeight="false" outlineLevel="0" collapsed="false">
      <c r="B382" s="6" t="s">
        <v>162</v>
      </c>
    </row>
    <row r="384" customFormat="false" ht="15" hidden="false" customHeight="false" outlineLevel="0" collapsed="false">
      <c r="B384" s="9" t="s">
        <v>163</v>
      </c>
      <c r="C384" s="23" t="n">
        <f aca="false">IF($C$349="renew",Inputs!$C$67,IF($C$349="retrofit",Inputs!$C$68,IF($C$349="relet",Inputs!$C$69,Inputs!$C$70)))+$C$355</f>
        <v>0.07</v>
      </c>
    </row>
    <row r="385" customFormat="false" ht="15" hidden="false" customHeight="false" outlineLevel="0" collapsed="false">
      <c r="B385" s="9" t="s">
        <v>164</v>
      </c>
      <c r="C385" s="24" t="n">
        <f aca="false">O372+O374-O375-Inputs!$C$12*O372</f>
        <v>32.1051648944678</v>
      </c>
    </row>
    <row r="386" customFormat="false" ht="15" hidden="false" customHeight="false" outlineLevel="0" collapsed="false">
      <c r="B386" s="9" t="s">
        <v>165</v>
      </c>
      <c r="C386" s="24" t="n">
        <f aca="false">O377-$C$385</f>
        <v>52.8207701350069</v>
      </c>
    </row>
    <row r="387" customFormat="false" ht="15" hidden="false" customHeight="false" outlineLevel="0" collapsed="false">
      <c r="B387" s="9" t="s">
        <v>166</v>
      </c>
      <c r="C387" s="24" t="n">
        <f aca="false">IF($C$349="stranded",Inputs!$C$57*Inputs!$C$6-Inputs!$C$58,0)</f>
        <v>0</v>
      </c>
    </row>
    <row r="388" customFormat="false" ht="15" hidden="false" customHeight="false" outlineLevel="0" collapsed="false">
      <c r="B388" s="9" t="s">
        <v>167</v>
      </c>
      <c r="C388" s="24" t="n">
        <f aca="false">($C$385+$C$386)/$C$384+$C$387</f>
        <v>1213.22764327821</v>
      </c>
    </row>
    <row r="389" customFormat="false" ht="15" hidden="false" customHeight="false" outlineLevel="0" collapsed="false">
      <c r="B389" s="29" t="s">
        <v>168</v>
      </c>
      <c r="C389" s="30" t="n">
        <f aca="false">$C$388*(1-Inputs!$C$66)</f>
        <v>1195.02922862904</v>
      </c>
    </row>
    <row r="390" customFormat="false" ht="15" hidden="false" customHeight="false" outlineLevel="0" collapsed="false">
      <c r="B390" s="9" t="s">
        <v>169</v>
      </c>
      <c r="C390" s="24" t="n">
        <f aca="false">$C$359*(1+Inputs!$C$65)</f>
        <v>918</v>
      </c>
    </row>
    <row r="392" customFormat="false" ht="15" hidden="false" customHeight="false" outlineLevel="0" collapsed="false">
      <c r="B392" s="25" t="s">
        <v>170</v>
      </c>
      <c r="C392" s="26"/>
      <c r="D392" s="26" t="n">
        <v>0</v>
      </c>
      <c r="E392" s="26" t="n">
        <v>1</v>
      </c>
      <c r="F392" s="26" t="n">
        <v>2</v>
      </c>
      <c r="G392" s="26" t="n">
        <v>3</v>
      </c>
      <c r="H392" s="26" t="n">
        <v>4</v>
      </c>
      <c r="I392" s="26" t="n">
        <v>5</v>
      </c>
      <c r="J392" s="26" t="n">
        <v>6</v>
      </c>
      <c r="K392" s="26" t="n">
        <v>7</v>
      </c>
      <c r="L392" s="26" t="n">
        <v>8</v>
      </c>
      <c r="M392" s="26" t="n">
        <v>9</v>
      </c>
      <c r="N392" s="26" t="n">
        <v>10</v>
      </c>
    </row>
    <row r="393" customFormat="false" ht="15" hidden="false" customHeight="false" outlineLevel="0" collapsed="false">
      <c r="B393" s="29" t="s">
        <v>171</v>
      </c>
      <c r="D393" s="30" t="n">
        <f aca="false">-$C$390</f>
        <v>-918</v>
      </c>
      <c r="E393" s="30" t="n">
        <f aca="false">E381</f>
        <v>-34.5159552</v>
      </c>
      <c r="F393" s="30" t="n">
        <f aca="false">F381</f>
        <v>-33.197245056</v>
      </c>
      <c r="G393" s="30" t="n">
        <f aca="false">G381</f>
        <v>79.21415009088</v>
      </c>
      <c r="H393" s="30" t="n">
        <f aca="false">H381</f>
        <v>81.0938216246976</v>
      </c>
      <c r="I393" s="30" t="n">
        <f aca="false">I381</f>
        <v>81.1249491641916</v>
      </c>
      <c r="J393" s="30" t="n">
        <f aca="false">J381</f>
        <v>82.5497857067254</v>
      </c>
      <c r="K393" s="30" t="n">
        <f aca="false">K381</f>
        <v>83.9979571836874</v>
      </c>
      <c r="L393" s="30" t="n">
        <f aca="false">L381</f>
        <v>85.4697885868815</v>
      </c>
      <c r="M393" s="30" t="n">
        <f aca="false">M381</f>
        <v>66.9341147584878</v>
      </c>
      <c r="N393" s="30" t="n">
        <f aca="false">N381+$C$389</f>
        <v>1276.13885001536</v>
      </c>
    </row>
    <row r="394" customFormat="false" ht="15" hidden="false" customHeight="false" outlineLevel="0" collapsed="false">
      <c r="B394" s="29" t="s">
        <v>172</v>
      </c>
      <c r="C394" s="31" t="n">
        <f aca="false">IRR(D393:N393,0.08)</f>
        <v>0.0760935136110361</v>
      </c>
    </row>
    <row r="397" customFormat="false" ht="15" hidden="false" customHeight="false" outlineLevel="0" collapsed="false">
      <c r="B397" s="7" t="s">
        <v>232</v>
      </c>
      <c r="C397" s="8"/>
      <c r="D397" s="8"/>
      <c r="E397" s="8"/>
      <c r="F397" s="8"/>
      <c r="G397" s="8"/>
      <c r="H397" s="8"/>
      <c r="I397" s="8"/>
      <c r="J397" s="8"/>
      <c r="K397" s="8"/>
      <c r="L397" s="8"/>
      <c r="M397" s="8"/>
      <c r="N397" s="8"/>
      <c r="O397" s="8"/>
    </row>
    <row r="398" customFormat="false" ht="15" hidden="false" customHeight="false" outlineLevel="0" collapsed="false">
      <c r="B398" s="9" t="s">
        <v>130</v>
      </c>
      <c r="C398" s="18" t="str">
        <f aca="false">Inputs!$C$42</f>
        <v>renew</v>
      </c>
    </row>
    <row r="399" customFormat="false" ht="15" hidden="false" customHeight="false" outlineLevel="0" collapsed="false">
      <c r="B399" s="9" t="s">
        <v>131</v>
      </c>
      <c r="C399" s="19" t="n">
        <f aca="false">Inputs!$C$25</f>
        <v>0</v>
      </c>
    </row>
    <row r="400" customFormat="false" ht="15" hidden="false" customHeight="false" outlineLevel="0" collapsed="false">
      <c r="B400" s="9" t="s">
        <v>132</v>
      </c>
      <c r="C400" s="20" t="n">
        <f aca="false">Inputs!$C$32</f>
        <v>3</v>
      </c>
    </row>
    <row r="401" customFormat="false" ht="15" hidden="false" customHeight="false" outlineLevel="0" collapsed="false">
      <c r="B401" s="9" t="s">
        <v>133</v>
      </c>
      <c r="C401" s="13" t="n">
        <v>0</v>
      </c>
    </row>
    <row r="402" customFormat="false" ht="15" hidden="false" customHeight="false" outlineLevel="0" collapsed="false">
      <c r="B402" s="9" t="s">
        <v>134</v>
      </c>
      <c r="C402" s="21" t="n">
        <f aca="false">Inputs!$C$60</f>
        <v>0.45</v>
      </c>
    </row>
    <row r="403" customFormat="false" ht="15" hidden="false" customHeight="false" outlineLevel="0" collapsed="false">
      <c r="B403" s="9" t="s">
        <v>135</v>
      </c>
      <c r="C403" s="22" t="n">
        <f aca="false">Inputs!$C$61</f>
        <v>1.55</v>
      </c>
    </row>
    <row r="404" customFormat="false" ht="15" hidden="false" customHeight="false" outlineLevel="0" collapsed="false">
      <c r="B404" s="9" t="s">
        <v>136</v>
      </c>
      <c r="C404" s="23" t="n">
        <f aca="false">Inputs!$C$71</f>
        <v>0</v>
      </c>
    </row>
    <row r="405" customFormat="false" ht="15" hidden="false" customHeight="false" outlineLevel="0" collapsed="false">
      <c r="B405" s="9" t="s">
        <v>30</v>
      </c>
      <c r="C405" s="22" t="n">
        <f aca="false">Inputs!$C$96</f>
        <v>1.3</v>
      </c>
    </row>
    <row r="406" customFormat="false" ht="15" hidden="false" customHeight="false" outlineLevel="0" collapsed="false">
      <c r="B406" s="9" t="s">
        <v>137</v>
      </c>
      <c r="C406" s="19" t="n">
        <f aca="false">Inputs!$C$43</f>
        <v>0.9</v>
      </c>
    </row>
    <row r="407" customFormat="false" ht="15" hidden="false" customHeight="false" outlineLevel="0" collapsed="false">
      <c r="B407" s="9" t="s">
        <v>138</v>
      </c>
      <c r="C407" s="24" t="n">
        <f aca="false">Inputs!$C$49</f>
        <v>120</v>
      </c>
    </row>
    <row r="408" customFormat="false" ht="15" hidden="false" customHeight="false" outlineLevel="0" collapsed="false">
      <c r="B408" s="9" t="s">
        <v>139</v>
      </c>
      <c r="C408" s="24" t="n">
        <f aca="false">Inputs!$C$64</f>
        <v>900</v>
      </c>
    </row>
    <row r="409" customFormat="false" ht="15" hidden="false" customHeight="false" outlineLevel="0" collapsed="false">
      <c r="B409" s="9" t="s">
        <v>140</v>
      </c>
      <c r="C409" s="24" t="n">
        <f aca="false">Inputs!$C$6*1000*Inputs!$C$7*12*(1+Inputs!$C$8)^(Inputs!$C$9-1)/1000000</f>
        <v>60.8711509000706</v>
      </c>
    </row>
    <row r="410" customFormat="false" ht="15" hidden="false" customHeight="false" outlineLevel="0" collapsed="false">
      <c r="B410" s="25" t="s">
        <v>141</v>
      </c>
      <c r="C410" s="26"/>
      <c r="E410" s="26" t="n">
        <v>1</v>
      </c>
      <c r="F410" s="26" t="n">
        <v>2</v>
      </c>
      <c r="G410" s="26" t="n">
        <v>3</v>
      </c>
      <c r="H410" s="26" t="n">
        <v>4</v>
      </c>
      <c r="I410" s="26" t="n">
        <v>5</v>
      </c>
      <c r="J410" s="26" t="n">
        <v>6</v>
      </c>
      <c r="K410" s="26" t="n">
        <v>7</v>
      </c>
      <c r="L410" s="26" t="n">
        <v>8</v>
      </c>
      <c r="M410" s="26" t="n">
        <v>9</v>
      </c>
      <c r="N410" s="26" t="n">
        <v>10</v>
      </c>
      <c r="O410" s="26" t="n">
        <v>11</v>
      </c>
    </row>
    <row r="411" customFormat="false" ht="15" hidden="false" customHeight="false" outlineLevel="0" collapsed="false">
      <c r="B411" s="9" t="s">
        <v>142</v>
      </c>
      <c r="E411" s="24" t="n">
        <f aca="false">IF(E$410&lt;=Inputs!$C$22,Inputs!$C$21,Inputs!$C$23*(1+Inputs!$C$24)^(E$410-5)*IF(AND($C$399&lt;&gt;0,E$410&gt;=Inputs!$C$26),1+$C$399,1))</f>
        <v>61</v>
      </c>
      <c r="F411" s="24" t="n">
        <f aca="false">IF(F$410&lt;=Inputs!$C$22,Inputs!$C$21,Inputs!$C$23*(1+Inputs!$C$24)^(F$410-5)*IF(AND($C$399&lt;&gt;0,F$410&gt;=Inputs!$C$26),1+$C$399,1))</f>
        <v>61</v>
      </c>
      <c r="G411" s="24" t="n">
        <f aca="false">IF(G$410&lt;=Inputs!$C$22,Inputs!$C$21,Inputs!$C$23*(1+Inputs!$C$24)^(G$410-5)*IF(AND($C$399&lt;&gt;0,G$410&gt;=Inputs!$C$26),1+$C$399,1))</f>
        <v>61</v>
      </c>
      <c r="H411" s="24" t="n">
        <f aca="false">IF(H$410&lt;=Inputs!$C$22,Inputs!$C$21,Inputs!$C$23*(1+Inputs!$C$24)^(H$410-5)*IF(AND($C$399&lt;&gt;0,H$410&gt;=Inputs!$C$26),1+$C$399,1))</f>
        <v>61</v>
      </c>
      <c r="I411" s="24" t="n">
        <f aca="false">IF(I$410&lt;=Inputs!$C$22,Inputs!$C$21,Inputs!$C$23*(1+Inputs!$C$24)^(I$410-5)*IF(AND($C$399&lt;&gt;0,I$410&gt;=Inputs!$C$26),1+$C$399,1))</f>
        <v>67</v>
      </c>
      <c r="J411" s="24" t="n">
        <f aca="false">IF(J$410&lt;=Inputs!$C$22,Inputs!$C$21,Inputs!$C$23*(1+Inputs!$C$24)^(J$410-5)*IF(AND($C$399&lt;&gt;0,J$410&gt;=Inputs!$C$26),1+$C$399,1))</f>
        <v>68.675</v>
      </c>
      <c r="K411" s="24" t="n">
        <f aca="false">IF(K$410&lt;=Inputs!$C$22,Inputs!$C$21,Inputs!$C$23*(1+Inputs!$C$24)^(K$410-5)*IF(AND($C$399&lt;&gt;0,K$410&gt;=Inputs!$C$26),1+$C$399,1))</f>
        <v>70.391875</v>
      </c>
      <c r="L411" s="24" t="n">
        <f aca="false">IF(L$410&lt;=Inputs!$C$22,Inputs!$C$21,Inputs!$C$23*(1+Inputs!$C$24)^(L$410-5)*IF(AND($C$399&lt;&gt;0,L$410&gt;=Inputs!$C$26),1+$C$399,1))</f>
        <v>72.151671875</v>
      </c>
      <c r="M411" s="24" t="n">
        <f aca="false">IF(M$410&lt;=Inputs!$C$22,Inputs!$C$21,Inputs!$C$23*(1+Inputs!$C$24)^(M$410-5)*IF(AND($C$399&lt;&gt;0,M$410&gt;=Inputs!$C$26),1+$C$399,1))</f>
        <v>73.955463671875</v>
      </c>
      <c r="N411" s="24" t="n">
        <f aca="false">IF(N$410&lt;=Inputs!$C$22,Inputs!$C$21,Inputs!$C$23*(1+Inputs!$C$24)^(N$410-5)*IF(AND($C$399&lt;&gt;0,N$410&gt;=Inputs!$C$26),1+$C$399,1))</f>
        <v>75.8043502636718</v>
      </c>
      <c r="O411" s="24" t="n">
        <f aca="false">IF(O$410&lt;=Inputs!$C$22,Inputs!$C$21,Inputs!$C$23*(1+Inputs!$C$24)^(O$410-5)*IF(AND($C$399&lt;&gt;0,O$410&gt;=Inputs!$C$26),1+$C$399,1))</f>
        <v>77.6994590202636</v>
      </c>
    </row>
    <row r="412" customFormat="false" ht="15" hidden="false" customHeight="false" outlineLevel="0" collapsed="false">
      <c r="B412" s="9" t="s">
        <v>143</v>
      </c>
      <c r="E412" s="24" t="n">
        <f aca="false">Inputs!$C$19*(1+Inputs!$C$20)^(E$410-1)</f>
        <v>74</v>
      </c>
      <c r="F412" s="24" t="n">
        <f aca="false">Inputs!$C$19*(1+Inputs!$C$20)^(F$410-1)</f>
        <v>75.48</v>
      </c>
      <c r="G412" s="24" t="n">
        <f aca="false">Inputs!$C$19*(1+Inputs!$C$20)^(G$410-1)</f>
        <v>76.9896</v>
      </c>
      <c r="H412" s="24" t="n">
        <f aca="false">Inputs!$C$19*(1+Inputs!$C$20)^(H$410-1)</f>
        <v>78.529392</v>
      </c>
      <c r="I412" s="24" t="n">
        <f aca="false">Inputs!$C$19*(1+Inputs!$C$20)^(I$410-1)</f>
        <v>80.09997984</v>
      </c>
      <c r="J412" s="24" t="n">
        <f aca="false">Inputs!$C$19*(1+Inputs!$C$20)^(J$410-1)</f>
        <v>81.7019794368</v>
      </c>
      <c r="K412" s="24" t="n">
        <f aca="false">Inputs!$C$19*(1+Inputs!$C$20)^(K$410-1)</f>
        <v>83.336019025536</v>
      </c>
      <c r="L412" s="24" t="n">
        <f aca="false">Inputs!$C$19*(1+Inputs!$C$20)^(L$410-1)</f>
        <v>85.0027394060467</v>
      </c>
      <c r="M412" s="24" t="n">
        <f aca="false">Inputs!$C$19*(1+Inputs!$C$20)^(M$410-1)</f>
        <v>86.7027941941677</v>
      </c>
      <c r="N412" s="24" t="n">
        <f aca="false">Inputs!$C$19*(1+Inputs!$C$20)^(N$410-1)</f>
        <v>88.436850078051</v>
      </c>
      <c r="O412" s="24" t="n">
        <f aca="false">Inputs!$C$19*(1+Inputs!$C$20)^(O$410-1)</f>
        <v>90.205587079612</v>
      </c>
    </row>
    <row r="413" customFormat="false" ht="15" hidden="false" customHeight="false" outlineLevel="0" collapsed="false">
      <c r="B413" s="9" t="s">
        <v>144</v>
      </c>
      <c r="E413" s="27" t="n">
        <f aca="false">(1+Inputs!$C$11)^(E$410-1)</f>
        <v>1</v>
      </c>
      <c r="F413" s="27" t="n">
        <f aca="false">(1+Inputs!$C$11)^(F$410-1)</f>
        <v>1.03</v>
      </c>
      <c r="G413" s="27" t="n">
        <f aca="false">(1+Inputs!$C$11)^(G$410-1)</f>
        <v>1.0609</v>
      </c>
      <c r="H413" s="27" t="n">
        <f aca="false">(1+Inputs!$C$11)^(H$410-1)</f>
        <v>1.092727</v>
      </c>
      <c r="I413" s="27" t="n">
        <f aca="false">(1+Inputs!$C$11)^(I$410-1)</f>
        <v>1.12550881</v>
      </c>
      <c r="J413" s="27" t="n">
        <f aca="false">(1+Inputs!$C$11)^(J$410-1)</f>
        <v>1.1592740743</v>
      </c>
      <c r="K413" s="27" t="n">
        <f aca="false">(1+Inputs!$C$11)^(K$410-1)</f>
        <v>1.194052296529</v>
      </c>
      <c r="L413" s="27" t="n">
        <f aca="false">(1+Inputs!$C$11)^(L$410-1)</f>
        <v>1.22987386542487</v>
      </c>
      <c r="M413" s="27" t="n">
        <f aca="false">(1+Inputs!$C$11)^(M$410-1)</f>
        <v>1.26677008138762</v>
      </c>
      <c r="N413" s="27" t="n">
        <f aca="false">(1+Inputs!$C$11)^(N$410-1)</f>
        <v>1.30477318382925</v>
      </c>
      <c r="O413" s="27" t="n">
        <f aca="false">(1+Inputs!$C$11)^(O$410-1)</f>
        <v>1.34391637934412</v>
      </c>
    </row>
    <row r="414" customFormat="false" ht="15" hidden="false" customHeight="false" outlineLevel="0" collapsed="false">
      <c r="B414" s="9" t="s">
        <v>145</v>
      </c>
      <c r="E414" s="19" t="n">
        <f aca="false">IF(OR(E$410&lt;=Inputs!$C$9,$C$398="renew"),IF(AND($C$401&gt;0,E$410&gt;=$C$401),$C$402,Inputs!$C$16),IF($C$398="stranded",0,Inputs!$C$16))</f>
        <v>0.8</v>
      </c>
      <c r="F414" s="19" t="n">
        <f aca="false">IF(OR(F$410&lt;=Inputs!$C$9,$C$398="renew"),IF(AND($C$401&gt;0,F$410&gt;=$C$401),$C$402,Inputs!$C$16),IF($C$398="stranded",0,Inputs!$C$16))</f>
        <v>0.8</v>
      </c>
      <c r="G414" s="19" t="n">
        <f aca="false">IF(OR(G$410&lt;=Inputs!$C$9,$C$398="renew"),IF(AND($C$401&gt;0,G$410&gt;=$C$401),$C$402,Inputs!$C$16),IF($C$398="stranded",0,Inputs!$C$16))</f>
        <v>0.8</v>
      </c>
      <c r="H414" s="19" t="n">
        <f aca="false">IF(OR(H$410&lt;=Inputs!$C$9,$C$398="renew"),IF(AND($C$401&gt;0,H$410&gt;=$C$401),$C$402,Inputs!$C$16),IF($C$398="stranded",0,Inputs!$C$16))</f>
        <v>0.8</v>
      </c>
      <c r="I414" s="19" t="n">
        <f aca="false">IF(OR(I$410&lt;=Inputs!$C$9,$C$398="renew"),IF(AND($C$401&gt;0,I$410&gt;=$C$401),$C$402,Inputs!$C$16),IF($C$398="stranded",0,Inputs!$C$16))</f>
        <v>0.8</v>
      </c>
      <c r="J414" s="19" t="n">
        <f aca="false">IF(OR(J$410&lt;=Inputs!$C$9,$C$398="renew"),IF(AND($C$401&gt;0,J$410&gt;=$C$401),$C$402,Inputs!$C$16),IF($C$398="stranded",0,Inputs!$C$16))</f>
        <v>0.8</v>
      </c>
      <c r="K414" s="19" t="n">
        <f aca="false">IF(OR(K$410&lt;=Inputs!$C$9,$C$398="renew"),IF(AND($C$401&gt;0,K$410&gt;=$C$401),$C$402,Inputs!$C$16),IF($C$398="stranded",0,Inputs!$C$16))</f>
        <v>0.8</v>
      </c>
      <c r="L414" s="19" t="n">
        <f aca="false">IF(OR(L$410&lt;=Inputs!$C$9,$C$398="renew"),IF(AND($C$401&gt;0,L$410&gt;=$C$401),$C$402,Inputs!$C$16),IF($C$398="stranded",0,Inputs!$C$16))</f>
        <v>0.8</v>
      </c>
      <c r="M414" s="19" t="n">
        <f aca="false">IF(OR(M$410&lt;=Inputs!$C$9,$C$398="renew"),IF(AND($C$401&gt;0,M$410&gt;=$C$401),$C$402,Inputs!$C$16),IF($C$398="stranded",0,Inputs!$C$16))</f>
        <v>0.8</v>
      </c>
      <c r="N414" s="19" t="n">
        <f aca="false">IF(OR(N$410&lt;=Inputs!$C$9,$C$398="renew"),IF(AND($C$401&gt;0,N$410&gt;=$C$401),$C$402,Inputs!$C$16),IF($C$398="stranded",0,Inputs!$C$16))</f>
        <v>0.8</v>
      </c>
      <c r="O414" s="19" t="n">
        <f aca="false">IF(OR(O$410&lt;=Inputs!$C$9,$C$398="renew"),IF(AND($C$401&gt;0,O$410&gt;=$C$401),$C$402,Inputs!$C$16),IF($C$398="stranded",0,Inputs!$C$16))</f>
        <v>0.8</v>
      </c>
    </row>
    <row r="415" customFormat="false" ht="15" hidden="false" customHeight="false" outlineLevel="0" collapsed="false">
      <c r="B415" s="9" t="s">
        <v>146</v>
      </c>
      <c r="E415" s="22" t="n">
        <f aca="false">IF(OR(E$410&lt;=Inputs!$C$9,$C$398="renew"),IF(AND($C$401&gt;0,E$410&gt;=$C$401),$C$403,$C$405),IF($C$398="retrofit",Inputs!$C$47,IF($C$398="relet",Inputs!$C$53,0)))</f>
        <v>1.3</v>
      </c>
      <c r="F415" s="22" t="n">
        <f aca="false">IF(OR(F$410&lt;=Inputs!$C$9,$C$398="renew"),IF(AND($C$401&gt;0,F$410&gt;=$C$401),$C$403,$C$405),IF($C$398="retrofit",Inputs!$C$47,IF($C$398="relet",Inputs!$C$53,0)))</f>
        <v>1.3</v>
      </c>
      <c r="G415" s="22" t="n">
        <f aca="false">IF(OR(G$410&lt;=Inputs!$C$9,$C$398="renew"),IF(AND($C$401&gt;0,G$410&gt;=$C$401),$C$403,$C$405),IF($C$398="retrofit",Inputs!$C$47,IF($C$398="relet",Inputs!$C$53,0)))</f>
        <v>1.3</v>
      </c>
      <c r="H415" s="22" t="n">
        <f aca="false">IF(OR(H$410&lt;=Inputs!$C$9,$C$398="renew"),IF(AND($C$401&gt;0,H$410&gt;=$C$401),$C$403,$C$405),IF($C$398="retrofit",Inputs!$C$47,IF($C$398="relet",Inputs!$C$53,0)))</f>
        <v>1.3</v>
      </c>
      <c r="I415" s="22" t="n">
        <f aca="false">IF(OR(I$410&lt;=Inputs!$C$9,$C$398="renew"),IF(AND($C$401&gt;0,I$410&gt;=$C$401),$C$403,$C$405),IF($C$398="retrofit",Inputs!$C$47,IF($C$398="relet",Inputs!$C$53,0)))</f>
        <v>1.3</v>
      </c>
      <c r="J415" s="22" t="n">
        <f aca="false">IF(OR(J$410&lt;=Inputs!$C$9,$C$398="renew"),IF(AND($C$401&gt;0,J$410&gt;=$C$401),$C$403,$C$405),IF($C$398="retrofit",Inputs!$C$47,IF($C$398="relet",Inputs!$C$53,0)))</f>
        <v>1.3</v>
      </c>
      <c r="K415" s="22" t="n">
        <f aca="false">IF(OR(K$410&lt;=Inputs!$C$9,$C$398="renew"),IF(AND($C$401&gt;0,K$410&gt;=$C$401),$C$403,$C$405),IF($C$398="retrofit",Inputs!$C$47,IF($C$398="relet",Inputs!$C$53,0)))</f>
        <v>1.3</v>
      </c>
      <c r="L415" s="22" t="n">
        <f aca="false">IF(OR(L$410&lt;=Inputs!$C$9,$C$398="renew"),IF(AND($C$401&gt;0,L$410&gt;=$C$401),$C$403,$C$405),IF($C$398="retrofit",Inputs!$C$47,IF($C$398="relet",Inputs!$C$53,0)))</f>
        <v>1.3</v>
      </c>
      <c r="M415" s="22" t="n">
        <f aca="false">IF(OR(M$410&lt;=Inputs!$C$9,$C$398="renew"),IF(AND($C$401&gt;0,M$410&gt;=$C$401),$C$403,$C$405),IF($C$398="retrofit",Inputs!$C$47,IF($C$398="relet",Inputs!$C$53,0)))</f>
        <v>1.3</v>
      </c>
      <c r="N415" s="22" t="n">
        <f aca="false">IF(OR(N$410&lt;=Inputs!$C$9,$C$398="renew"),IF(AND($C$401&gt;0,N$410&gt;=$C$401),$C$403,$C$405),IF($C$398="retrofit",Inputs!$C$47,IF($C$398="relet",Inputs!$C$53,0)))</f>
        <v>1.3</v>
      </c>
      <c r="O415" s="22" t="n">
        <f aca="false">IF(OR(O$410&lt;=Inputs!$C$9,$C$398="renew"),IF(AND($C$401&gt;0,O$410&gt;=$C$401),$C$403,$C$405),IF($C$398="retrofit",Inputs!$C$47,IF($C$398="relet",Inputs!$C$53,0)))</f>
        <v>1.3</v>
      </c>
    </row>
    <row r="416" customFormat="false" ht="15" hidden="false" customHeight="false" outlineLevel="0" collapsed="false">
      <c r="B416" s="9" t="s">
        <v>147</v>
      </c>
      <c r="E416" s="21" t="n">
        <f aca="false">IF(OR(E$410&lt;=Inputs!$C$9,$C$398="renew"),1,IF($C$398="retrofit",IF(E$410-Inputs!$C$9=1,0,1),IF($C$398="relet",CHOOSE(MIN(E$410-Inputs!$C$9,3),Inputs!$C$50,Inputs!$C$51,Inputs!$C$52),0)))</f>
        <v>1</v>
      </c>
      <c r="F416" s="21" t="n">
        <f aca="false">IF(OR(F$410&lt;=Inputs!$C$9,$C$398="renew"),1,IF($C$398="retrofit",IF(F$410-Inputs!$C$9=1,0,1),IF($C$398="relet",CHOOSE(MIN(F$410-Inputs!$C$9,3),Inputs!$C$50,Inputs!$C$51,Inputs!$C$52),0)))</f>
        <v>1</v>
      </c>
      <c r="G416" s="21" t="n">
        <f aca="false">IF(OR(G$410&lt;=Inputs!$C$9,$C$398="renew"),1,IF($C$398="retrofit",IF(G$410-Inputs!$C$9=1,0,1),IF($C$398="relet",CHOOSE(MIN(G$410-Inputs!$C$9,3),Inputs!$C$50,Inputs!$C$51,Inputs!$C$52),0)))</f>
        <v>1</v>
      </c>
      <c r="H416" s="21" t="n">
        <f aca="false">IF(OR(H$410&lt;=Inputs!$C$9,$C$398="renew"),1,IF($C$398="retrofit",IF(H$410-Inputs!$C$9=1,0,1),IF($C$398="relet",CHOOSE(MIN(H$410-Inputs!$C$9,3),Inputs!$C$50,Inputs!$C$51,Inputs!$C$52),0)))</f>
        <v>1</v>
      </c>
      <c r="I416" s="21" t="n">
        <f aca="false">IF(OR(I$410&lt;=Inputs!$C$9,$C$398="renew"),1,IF($C$398="retrofit",IF(I$410-Inputs!$C$9=1,0,1),IF($C$398="relet",CHOOSE(MIN(I$410-Inputs!$C$9,3),Inputs!$C$50,Inputs!$C$51,Inputs!$C$52),0)))</f>
        <v>1</v>
      </c>
      <c r="J416" s="21" t="n">
        <f aca="false">IF(OR(J$410&lt;=Inputs!$C$9,$C$398="renew"),1,IF($C$398="retrofit",IF(J$410-Inputs!$C$9=1,0,1),IF($C$398="relet",CHOOSE(MIN(J$410-Inputs!$C$9,3),Inputs!$C$50,Inputs!$C$51,Inputs!$C$52),0)))</f>
        <v>1</v>
      </c>
      <c r="K416" s="21" t="n">
        <f aca="false">IF(OR(K$410&lt;=Inputs!$C$9,$C$398="renew"),1,IF($C$398="retrofit",IF(K$410-Inputs!$C$9=1,0,1),IF($C$398="relet",CHOOSE(MIN(K$410-Inputs!$C$9,3),Inputs!$C$50,Inputs!$C$51,Inputs!$C$52),0)))</f>
        <v>1</v>
      </c>
      <c r="L416" s="21" t="n">
        <f aca="false">IF(OR(L$410&lt;=Inputs!$C$9,$C$398="renew"),1,IF($C$398="retrofit",IF(L$410-Inputs!$C$9=1,0,1),IF($C$398="relet",CHOOSE(MIN(L$410-Inputs!$C$9,3),Inputs!$C$50,Inputs!$C$51,Inputs!$C$52),0)))</f>
        <v>1</v>
      </c>
      <c r="M416" s="21" t="n">
        <f aca="false">IF(OR(M$410&lt;=Inputs!$C$9,$C$398="renew"),1,IF($C$398="retrofit",IF(M$410-Inputs!$C$9=1,0,1),IF($C$398="relet",CHOOSE(MIN(M$410-Inputs!$C$9,3),Inputs!$C$50,Inputs!$C$51,Inputs!$C$52),0)))</f>
        <v>1</v>
      </c>
      <c r="N416" s="21" t="n">
        <f aca="false">IF(OR(N$410&lt;=Inputs!$C$9,$C$398="renew"),1,IF($C$398="retrofit",IF(N$410-Inputs!$C$9=1,0,1),IF($C$398="relet",CHOOSE(MIN(N$410-Inputs!$C$9,3),Inputs!$C$50,Inputs!$C$51,Inputs!$C$52),0)))</f>
        <v>1</v>
      </c>
      <c r="O416" s="21" t="n">
        <f aca="false">IF(OR(O$410&lt;=Inputs!$C$9,$C$398="renew"),1,IF($C$398="retrofit",IF(O$410-Inputs!$C$9=1,0,1),IF($C$398="relet",CHOOSE(MIN(O$410-Inputs!$C$9,3),Inputs!$C$50,Inputs!$C$51,Inputs!$C$52),0)))</f>
        <v>1</v>
      </c>
    </row>
    <row r="417" customFormat="false" ht="15" hidden="false" customHeight="false" outlineLevel="0" collapsed="false">
      <c r="B417" s="9" t="s">
        <v>148</v>
      </c>
      <c r="E417" s="28" t="n">
        <f aca="false">Inputs!$C$6*1000*E414*E416*8760/1000</f>
        <v>224256</v>
      </c>
      <c r="F417" s="28" t="n">
        <f aca="false">Inputs!$C$6*1000*F414*F416*8760/1000</f>
        <v>224256</v>
      </c>
      <c r="G417" s="28" t="n">
        <f aca="false">Inputs!$C$6*1000*G414*G416*8760/1000</f>
        <v>224256</v>
      </c>
      <c r="H417" s="28" t="n">
        <f aca="false">Inputs!$C$6*1000*H414*H416*8760/1000</f>
        <v>224256</v>
      </c>
      <c r="I417" s="28" t="n">
        <f aca="false">Inputs!$C$6*1000*I414*I416*8760/1000</f>
        <v>224256</v>
      </c>
      <c r="J417" s="28" t="n">
        <f aca="false">Inputs!$C$6*1000*J414*J416*8760/1000</f>
        <v>224256</v>
      </c>
      <c r="K417" s="28" t="n">
        <f aca="false">Inputs!$C$6*1000*K414*K416*8760/1000</f>
        <v>224256</v>
      </c>
      <c r="L417" s="28" t="n">
        <f aca="false">Inputs!$C$6*1000*L414*L416*8760/1000</f>
        <v>224256</v>
      </c>
      <c r="M417" s="28" t="n">
        <f aca="false">Inputs!$C$6*1000*M414*M416*8760/1000</f>
        <v>224256</v>
      </c>
      <c r="N417" s="28" t="n">
        <f aca="false">Inputs!$C$6*1000*N414*N416*8760/1000</f>
        <v>224256</v>
      </c>
      <c r="O417" s="28" t="n">
        <f aca="false">Inputs!$C$6*1000*O414*O416*8760/1000</f>
        <v>224256</v>
      </c>
    </row>
    <row r="418" customFormat="false" ht="15" hidden="false" customHeight="false" outlineLevel="0" collapsed="false">
      <c r="B418" s="9" t="s">
        <v>149</v>
      </c>
      <c r="E418" s="24" t="n">
        <f aca="false">IF(E$410&lt;=Inputs!$C$9,Inputs!$C$6*1000*Inputs!$C$7*12*(1+Inputs!$C$8)^(E$410-1)/1000000,IF($C$398="renew",$C$409*$C$406*(1+Inputs!$C$8)^(E$410-Inputs!$C$9-1),IF($C$398="retrofit",IF(E$410-Inputs!$C$9=1,0,Inputs!$C$6*1000*Inputs!$C$46*12*(1+Inputs!$C$8)^(E$410-Inputs!$C$9-2)/1000000),IF($C$398="relet",Inputs!$C$6*1000*E416*$C$407*12*(1+Inputs!$C$8)^(E$410-Inputs!$C$9-2)/1000000,0))))</f>
        <v>52.992</v>
      </c>
      <c r="F418" s="24" t="n">
        <f aca="false">IF(F$410&lt;=Inputs!$C$9,Inputs!$C$6*1000*Inputs!$C$7*12*(1+Inputs!$C$8)^(F$410-1)/1000000,IF($C$398="renew",$C$409*$C$406*(1+Inputs!$C$8)^(F$410-Inputs!$C$9-1),IF($C$398="retrofit",IF(F$410-Inputs!$C$9=1,0,Inputs!$C$6*1000*Inputs!$C$46*12*(1+Inputs!$C$8)^(F$410-Inputs!$C$9-2)/1000000),IF($C$398="relet",Inputs!$C$6*1000*F416*$C$407*12*(1+Inputs!$C$8)^(F$410-Inputs!$C$9-2)/1000000,0))))</f>
        <v>54.05184</v>
      </c>
      <c r="G418" s="24" t="n">
        <f aca="false">IF(G$410&lt;=Inputs!$C$9,Inputs!$C$6*1000*Inputs!$C$7*12*(1+Inputs!$C$8)^(G$410-1)/1000000,IF($C$398="renew",$C$409*$C$406*(1+Inputs!$C$8)^(G$410-Inputs!$C$9-1),IF($C$398="retrofit",IF(G$410-Inputs!$C$9=1,0,Inputs!$C$6*1000*Inputs!$C$46*12*(1+Inputs!$C$8)^(G$410-Inputs!$C$9-2)/1000000),IF($C$398="relet",Inputs!$C$6*1000*G416*$C$407*12*(1+Inputs!$C$8)^(G$410-Inputs!$C$9-2)/1000000,0))))</f>
        <v>55.1328768</v>
      </c>
      <c r="H418" s="24" t="n">
        <f aca="false">IF(H$410&lt;=Inputs!$C$9,Inputs!$C$6*1000*Inputs!$C$7*12*(1+Inputs!$C$8)^(H$410-1)/1000000,IF($C$398="renew",$C$409*$C$406*(1+Inputs!$C$8)^(H$410-Inputs!$C$9-1),IF($C$398="retrofit",IF(H$410-Inputs!$C$9=1,0,Inputs!$C$6*1000*Inputs!$C$46*12*(1+Inputs!$C$8)^(H$410-Inputs!$C$9-2)/1000000),IF($C$398="relet",Inputs!$C$6*1000*H416*$C$407*12*(1+Inputs!$C$8)^(H$410-Inputs!$C$9-2)/1000000,0))))</f>
        <v>56.235534336</v>
      </c>
      <c r="I418" s="24" t="n">
        <f aca="false">IF(I$410&lt;=Inputs!$C$9,Inputs!$C$6*1000*Inputs!$C$7*12*(1+Inputs!$C$8)^(I$410-1)/1000000,IF($C$398="renew",$C$409*$C$406*(1+Inputs!$C$8)^(I$410-Inputs!$C$9-1),IF($C$398="retrofit",IF(I$410-Inputs!$C$9=1,0,Inputs!$C$6*1000*Inputs!$C$46*12*(1+Inputs!$C$8)^(I$410-Inputs!$C$9-2)/1000000),IF($C$398="relet",Inputs!$C$6*1000*I416*$C$407*12*(1+Inputs!$C$8)^(I$410-Inputs!$C$9-2)/1000000,0))))</f>
        <v>57.36024502272</v>
      </c>
      <c r="J418" s="24" t="n">
        <f aca="false">IF(J$410&lt;=Inputs!$C$9,Inputs!$C$6*1000*Inputs!$C$7*12*(1+Inputs!$C$8)^(J$410-1)/1000000,IF($C$398="renew",$C$409*$C$406*(1+Inputs!$C$8)^(J$410-Inputs!$C$9-1),IF($C$398="retrofit",IF(J$410-Inputs!$C$9=1,0,Inputs!$C$6*1000*Inputs!$C$46*12*(1+Inputs!$C$8)^(J$410-Inputs!$C$9-2)/1000000),IF($C$398="relet",Inputs!$C$6*1000*J416*$C$407*12*(1+Inputs!$C$8)^(J$410-Inputs!$C$9-2)/1000000,0))))</f>
        <v>58.5074499231744</v>
      </c>
      <c r="K418" s="24" t="n">
        <f aca="false">IF(K$410&lt;=Inputs!$C$9,Inputs!$C$6*1000*Inputs!$C$7*12*(1+Inputs!$C$8)^(K$410-1)/1000000,IF($C$398="renew",$C$409*$C$406*(1+Inputs!$C$8)^(K$410-Inputs!$C$9-1),IF($C$398="retrofit",IF(K$410-Inputs!$C$9=1,0,Inputs!$C$6*1000*Inputs!$C$46*12*(1+Inputs!$C$8)^(K$410-Inputs!$C$9-2)/1000000),IF($C$398="relet",Inputs!$C$6*1000*K416*$C$407*12*(1+Inputs!$C$8)^(K$410-Inputs!$C$9-2)/1000000,0))))</f>
        <v>59.6775989216379</v>
      </c>
      <c r="L418" s="24" t="n">
        <f aca="false">IF(L$410&lt;=Inputs!$C$9,Inputs!$C$6*1000*Inputs!$C$7*12*(1+Inputs!$C$8)^(L$410-1)/1000000,IF($C$398="renew",$C$409*$C$406*(1+Inputs!$C$8)^(L$410-Inputs!$C$9-1),IF($C$398="retrofit",IF(L$410-Inputs!$C$9=1,0,Inputs!$C$6*1000*Inputs!$C$46*12*(1+Inputs!$C$8)^(L$410-Inputs!$C$9-2)/1000000),IF($C$398="relet",Inputs!$C$6*1000*L416*$C$407*12*(1+Inputs!$C$8)^(L$410-Inputs!$C$9-2)/1000000,0))))</f>
        <v>60.8711509000706</v>
      </c>
      <c r="M418" s="24" t="n">
        <f aca="false">IF(M$410&lt;=Inputs!$C$9,Inputs!$C$6*1000*Inputs!$C$7*12*(1+Inputs!$C$8)^(M$410-1)/1000000,IF($C$398="renew",$C$409*$C$406*(1+Inputs!$C$8)^(M$410-Inputs!$C$9-1),IF($C$398="retrofit",IF(M$410-Inputs!$C$9=1,0,Inputs!$C$6*1000*Inputs!$C$46*12*(1+Inputs!$C$8)^(M$410-Inputs!$C$9-2)/1000000),IF($C$398="relet",Inputs!$C$6*1000*M416*$C$407*12*(1+Inputs!$C$8)^(M$410-Inputs!$C$9-2)/1000000,0))))</f>
        <v>54.7840358100636</v>
      </c>
      <c r="N418" s="24" t="n">
        <f aca="false">IF(N$410&lt;=Inputs!$C$9,Inputs!$C$6*1000*Inputs!$C$7*12*(1+Inputs!$C$8)^(N$410-1)/1000000,IF($C$398="renew",$C$409*$C$406*(1+Inputs!$C$8)^(N$410-Inputs!$C$9-1),IF($C$398="retrofit",IF(N$410-Inputs!$C$9=1,0,Inputs!$C$6*1000*Inputs!$C$46*12*(1+Inputs!$C$8)^(N$410-Inputs!$C$9-2)/1000000),IF($C$398="relet",Inputs!$C$6*1000*N416*$C$407*12*(1+Inputs!$C$8)^(N$410-Inputs!$C$9-2)/1000000,0))))</f>
        <v>55.8797165262649</v>
      </c>
      <c r="O418" s="24" t="n">
        <f aca="false">IF(O$410&lt;=Inputs!$C$9,Inputs!$C$6*1000*Inputs!$C$7*12*(1+Inputs!$C$8)^(O$410-1)/1000000,IF($C$398="renew",$C$409*$C$406*(1+Inputs!$C$8)^(O$410-Inputs!$C$9-1),IF($C$398="retrofit",IF(O$410-Inputs!$C$9=1,0,Inputs!$C$6*1000*Inputs!$C$46*12*(1+Inputs!$C$8)^(O$410-Inputs!$C$9-2)/1000000),IF($C$398="relet",Inputs!$C$6*1000*O416*$C$407*12*(1+Inputs!$C$8)^(O$410-Inputs!$C$9-2)/1000000,0))))</f>
        <v>56.9973108567902</v>
      </c>
    </row>
    <row r="419" customFormat="false" ht="15" hidden="false" customHeight="false" outlineLevel="0" collapsed="false">
      <c r="B419" s="9" t="s">
        <v>150</v>
      </c>
      <c r="E419" s="24" t="n">
        <f aca="false">IF(OR(E$410&lt;=Inputs!$C$9,$C$398="renew"),E417*(Inputs!$C$17*E412-E415*E411)/1000000,E417*E415*Inputs!$C$27/1000000)</f>
        <v>3.7899264</v>
      </c>
      <c r="F419" s="24" t="n">
        <f aca="false">IF(OR(F$410&lt;=Inputs!$C$9,$C$398="renew"),F417*(Inputs!$C$17*F412-F415*F411)/1000000,F417*F415*Inputs!$C$27/1000000)</f>
        <v>4.221394944</v>
      </c>
      <c r="G419" s="24" t="n">
        <f aca="false">IF(OR(G$410&lt;=Inputs!$C$9,$C$398="renew"),G417*(Inputs!$C$17*G412-G415*G411)/1000000,G417*G415*Inputs!$C$27/1000000)</f>
        <v>4.66149285888</v>
      </c>
      <c r="H419" s="24" t="n">
        <f aca="false">IF(OR(H$410&lt;=Inputs!$C$9,$C$398="renew"),H417*(Inputs!$C$17*H412-H415*H411)/1000000,H417*H415*Inputs!$C$27/1000000)</f>
        <v>5.11039273205761</v>
      </c>
      <c r="I419" s="24" t="n">
        <f aca="false">IF(OR(I$410&lt;=Inputs!$C$9,$C$398="renew"),I417*(Inputs!$C$17*I412-I415*I411)/1000000,I417*I415*Inputs!$C$27/1000000)</f>
        <v>3.81907380269875</v>
      </c>
      <c r="J419" s="24" t="n">
        <f aca="false">IF(OR(J$410&lt;=Inputs!$C$9,$C$398="renew"),J417*(Inputs!$C$17*J412-J415*J411)/1000000,J417*J415*Inputs!$C$27/1000000)</f>
        <v>3.79779179075273</v>
      </c>
      <c r="K419" s="24" t="n">
        <f aca="false">IF(OR(K$410&lt;=Inputs!$C$9,$C$398="renew"),K417*(Inputs!$C$17*K412-K415*K411)/1000000,K417*K415*Inputs!$C$27/1000000)</f>
        <v>3.77364255136778</v>
      </c>
      <c r="L419" s="24" t="n">
        <f aca="false">IF(OR(L$410&lt;=Inputs!$C$9,$C$398="renew"),L417*(Inputs!$C$17*L412-L415*L411)/1000000,L417*L415*Inputs!$C$27/1000000)</f>
        <v>3.74650770031515</v>
      </c>
      <c r="M419" s="24" t="n">
        <f aca="false">IF(OR(M$410&lt;=Inputs!$C$9,$C$398="renew"),M417*(Inputs!$C$17*M412-M415*M411)/1000000,M417*M415*Inputs!$C$27/1000000)</f>
        <v>3.71626495968945</v>
      </c>
      <c r="N419" s="24" t="n">
        <f aca="false">IF(OR(N$410&lt;=Inputs!$C$9,$C$398="renew"),N417*(Inputs!$C$17*N412-N415*N411)/1000000,N417*N415*Inputs!$C$27/1000000)</f>
        <v>3.68278804188544</v>
      </c>
      <c r="O419" s="24" t="n">
        <f aca="false">IF(OR(O$410&lt;=Inputs!$C$9,$C$398="renew"),O417*(Inputs!$C$17*O412-O415*O411)/1000000,O417*O415*Inputs!$C$27/1000000)</f>
        <v>3.64594653030041</v>
      </c>
    </row>
    <row r="420" customFormat="false" ht="15" hidden="false" customHeight="false" outlineLevel="0" collapsed="false">
      <c r="B420" s="9" t="s">
        <v>151</v>
      </c>
      <c r="E420" s="24" t="n">
        <f aca="false">Inputs!$C$10*E413*IF(OR(E$410&lt;=Inputs!$C$9,$C$398="renew"),1,IF($C$398="retrofit",IF(E$410-Inputs!$C$9=1,Inputs!$C$48,1),IF($C$398="relet",Inputs!$C$54,Inputs!$C$56)))</f>
        <v>4.1</v>
      </c>
      <c r="F420" s="24" t="n">
        <f aca="false">Inputs!$C$10*F413*IF(OR(F$410&lt;=Inputs!$C$9,$C$398="renew"),1,IF($C$398="retrofit",IF(F$410-Inputs!$C$9=1,Inputs!$C$48,1),IF($C$398="relet",Inputs!$C$54,Inputs!$C$56)))</f>
        <v>4.223</v>
      </c>
      <c r="G420" s="24" t="n">
        <f aca="false">Inputs!$C$10*G413*IF(OR(G$410&lt;=Inputs!$C$9,$C$398="renew"),1,IF($C$398="retrofit",IF(G$410-Inputs!$C$9=1,Inputs!$C$48,1),IF($C$398="relet",Inputs!$C$54,Inputs!$C$56)))</f>
        <v>4.34969</v>
      </c>
      <c r="H420" s="24" t="n">
        <f aca="false">Inputs!$C$10*H413*IF(OR(H$410&lt;=Inputs!$C$9,$C$398="renew"),1,IF($C$398="retrofit",IF(H$410-Inputs!$C$9=1,Inputs!$C$48,1),IF($C$398="relet",Inputs!$C$54,Inputs!$C$56)))</f>
        <v>4.4801807</v>
      </c>
      <c r="I420" s="24" t="n">
        <f aca="false">Inputs!$C$10*I413*IF(OR(I$410&lt;=Inputs!$C$9,$C$398="renew"),1,IF($C$398="retrofit",IF(I$410-Inputs!$C$9=1,Inputs!$C$48,1),IF($C$398="relet",Inputs!$C$54,Inputs!$C$56)))</f>
        <v>4.614586121</v>
      </c>
      <c r="J420" s="24" t="n">
        <f aca="false">Inputs!$C$10*J413*IF(OR(J$410&lt;=Inputs!$C$9,$C$398="renew"),1,IF($C$398="retrofit",IF(J$410-Inputs!$C$9=1,Inputs!$C$48,1),IF($C$398="relet",Inputs!$C$54,Inputs!$C$56)))</f>
        <v>4.75302370463</v>
      </c>
      <c r="K420" s="24" t="n">
        <f aca="false">Inputs!$C$10*K413*IF(OR(K$410&lt;=Inputs!$C$9,$C$398="renew"),1,IF($C$398="retrofit",IF(K$410-Inputs!$C$9=1,Inputs!$C$48,1),IF($C$398="relet",Inputs!$C$54,Inputs!$C$56)))</f>
        <v>4.8956144157689</v>
      </c>
      <c r="L420" s="24" t="n">
        <f aca="false">Inputs!$C$10*L413*IF(OR(L$410&lt;=Inputs!$C$9,$C$398="renew"),1,IF($C$398="retrofit",IF(L$410-Inputs!$C$9=1,Inputs!$C$48,1),IF($C$398="relet",Inputs!$C$54,Inputs!$C$56)))</f>
        <v>5.04248284824197</v>
      </c>
      <c r="M420" s="24" t="n">
        <f aca="false">Inputs!$C$10*M413*IF(OR(M$410&lt;=Inputs!$C$9,$C$398="renew"),1,IF($C$398="retrofit",IF(M$410-Inputs!$C$9=1,Inputs!$C$48,1),IF($C$398="relet",Inputs!$C$54,Inputs!$C$56)))</f>
        <v>5.19375733368923</v>
      </c>
      <c r="N420" s="24" t="n">
        <f aca="false">Inputs!$C$10*N413*IF(OR(N$410&lt;=Inputs!$C$9,$C$398="renew"),1,IF($C$398="retrofit",IF(N$410-Inputs!$C$9=1,Inputs!$C$48,1),IF($C$398="relet",Inputs!$C$54,Inputs!$C$56)))</f>
        <v>5.3495700536999</v>
      </c>
      <c r="O420" s="24" t="n">
        <f aca="false">Inputs!$C$10*O413*IF(OR(O$410&lt;=Inputs!$C$9,$C$398="renew"),1,IF($C$398="retrofit",IF(O$410-Inputs!$C$9=1,Inputs!$C$48,1),IF($C$398="relet",Inputs!$C$54,Inputs!$C$56)))</f>
        <v>5.5100571553109</v>
      </c>
    </row>
    <row r="421" customFormat="false" ht="15" hidden="false" customHeight="false" outlineLevel="0" collapsed="false">
      <c r="B421" s="9" t="s">
        <v>152</v>
      </c>
      <c r="E421" s="24" t="n">
        <f aca="false">IF(E$410&gt;=$C$400,Inputs!$C$30*1000*Inputs!$C$34*12*(1+Inputs!$C$8)^(E$410-$C$400)/1000000*IF(AND(E$410=$C$400,$C$400&gt;Inputs!$C$33),1-MIN(12,Inputs!$C$35*($C$400-Inputs!$C$33)*12)/12,1),0)</f>
        <v>0</v>
      </c>
      <c r="F421" s="24" t="n">
        <f aca="false">IF(F$410&gt;=$C$400,Inputs!$C$30*1000*Inputs!$C$34*12*(1+Inputs!$C$8)^(F$410-$C$400)/1000000*IF(AND(F$410=$C$400,$C$400&gt;Inputs!$C$33),1-MIN(12,Inputs!$C$35*($C$400-Inputs!$C$33)*12)/12,1),0)</f>
        <v>0</v>
      </c>
      <c r="G421" s="24" t="n">
        <f aca="false">IF(G$410&gt;=$C$400,Inputs!$C$30*1000*Inputs!$C$34*12*(1+Inputs!$C$8)^(G$410-$C$400)/1000000*IF(AND(G$410=$C$400,$C$400&gt;Inputs!$C$33),1-MIN(12,Inputs!$C$35*($C$400-Inputs!$C$33)*12)/12,1),0)</f>
        <v>29.184</v>
      </c>
      <c r="H421" s="24" t="n">
        <f aca="false">IF(H$410&gt;=$C$400,Inputs!$C$30*1000*Inputs!$C$34*12*(1+Inputs!$C$8)^(H$410-$C$400)/1000000*IF(AND(H$410=$C$400,$C$400&gt;Inputs!$C$33),1-MIN(12,Inputs!$C$35*($C$400-Inputs!$C$33)*12)/12,1),0)</f>
        <v>29.76768</v>
      </c>
      <c r="I421" s="24" t="n">
        <f aca="false">IF(I$410&gt;=$C$400,Inputs!$C$30*1000*Inputs!$C$34*12*(1+Inputs!$C$8)^(I$410-$C$400)/1000000*IF(AND(I$410=$C$400,$C$400&gt;Inputs!$C$33),1-MIN(12,Inputs!$C$35*($C$400-Inputs!$C$33)*12)/12,1),0)</f>
        <v>30.3630336</v>
      </c>
      <c r="J421" s="24" t="n">
        <f aca="false">IF(J$410&gt;=$C$400,Inputs!$C$30*1000*Inputs!$C$34*12*(1+Inputs!$C$8)^(J$410-$C$400)/1000000*IF(AND(J$410=$C$400,$C$400&gt;Inputs!$C$33),1-MIN(12,Inputs!$C$35*($C$400-Inputs!$C$33)*12)/12,1),0)</f>
        <v>30.970294272</v>
      </c>
      <c r="K421" s="24" t="n">
        <f aca="false">IF(K$410&gt;=$C$400,Inputs!$C$30*1000*Inputs!$C$34*12*(1+Inputs!$C$8)^(K$410-$C$400)/1000000*IF(AND(K$410=$C$400,$C$400&gt;Inputs!$C$33),1-MIN(12,Inputs!$C$35*($C$400-Inputs!$C$33)*12)/12,1),0)</f>
        <v>31.58970015744</v>
      </c>
      <c r="L421" s="24" t="n">
        <f aca="false">IF(L$410&gt;=$C$400,Inputs!$C$30*1000*Inputs!$C$34*12*(1+Inputs!$C$8)^(L$410-$C$400)/1000000*IF(AND(L$410=$C$400,$C$400&gt;Inputs!$C$33),1-MIN(12,Inputs!$C$35*($C$400-Inputs!$C$33)*12)/12,1),0)</f>
        <v>32.2214941605888</v>
      </c>
      <c r="M421" s="24" t="n">
        <f aca="false">IF(M$410&gt;=$C$400,Inputs!$C$30*1000*Inputs!$C$34*12*(1+Inputs!$C$8)^(M$410-$C$400)/1000000*IF(AND(M$410=$C$400,$C$400&gt;Inputs!$C$33),1-MIN(12,Inputs!$C$35*($C$400-Inputs!$C$33)*12)/12,1),0)</f>
        <v>32.8659240438006</v>
      </c>
      <c r="N421" s="24" t="n">
        <f aca="false">IF(N$410&gt;=$C$400,Inputs!$C$30*1000*Inputs!$C$34*12*(1+Inputs!$C$8)^(N$410-$C$400)/1000000*IF(AND(N$410=$C$400,$C$400&gt;Inputs!$C$33),1-MIN(12,Inputs!$C$35*($C$400-Inputs!$C$33)*12)/12,1),0)</f>
        <v>33.5232425246766</v>
      </c>
      <c r="O421" s="24" t="n">
        <f aca="false">IF(O$410&gt;=$C$400,Inputs!$C$30*1000*Inputs!$C$34*12*(1+Inputs!$C$8)^(O$410-$C$400)/1000000*IF(AND(O$410=$C$400,$C$400&gt;Inputs!$C$33),1-MIN(12,Inputs!$C$35*($C$400-Inputs!$C$33)*12)/12,1),0)</f>
        <v>34.1937073751701</v>
      </c>
    </row>
    <row r="422" customFormat="false" ht="15" hidden="false" customHeight="false" outlineLevel="0" collapsed="false">
      <c r="B422" s="9" t="s">
        <v>153</v>
      </c>
      <c r="E422" s="28" t="n">
        <f aca="false">IF(E$410&gt;=$C$400,Inputs!$C$30*1000*Inputs!$C$16*8760/1000,0)</f>
        <v>0</v>
      </c>
      <c r="F422" s="28" t="n">
        <f aca="false">IF(F$410&gt;=$C$400,Inputs!$C$30*1000*Inputs!$C$16*8760/1000,0)</f>
        <v>0</v>
      </c>
      <c r="G422" s="28" t="n">
        <f aca="false">IF(G$410&gt;=$C$400,Inputs!$C$30*1000*Inputs!$C$16*8760/1000,0)</f>
        <v>112128</v>
      </c>
      <c r="H422" s="28" t="n">
        <f aca="false">IF(H$410&gt;=$C$400,Inputs!$C$30*1000*Inputs!$C$16*8760/1000,0)</f>
        <v>112128</v>
      </c>
      <c r="I422" s="28" t="n">
        <f aca="false">IF(I$410&gt;=$C$400,Inputs!$C$30*1000*Inputs!$C$16*8760/1000,0)</f>
        <v>112128</v>
      </c>
      <c r="J422" s="28" t="n">
        <f aca="false">IF(J$410&gt;=$C$400,Inputs!$C$30*1000*Inputs!$C$16*8760/1000,0)</f>
        <v>112128</v>
      </c>
      <c r="K422" s="28" t="n">
        <f aca="false">IF(K$410&gt;=$C$400,Inputs!$C$30*1000*Inputs!$C$16*8760/1000,0)</f>
        <v>112128</v>
      </c>
      <c r="L422" s="28" t="n">
        <f aca="false">IF(L$410&gt;=$C$400,Inputs!$C$30*1000*Inputs!$C$16*8760/1000,0)</f>
        <v>112128</v>
      </c>
      <c r="M422" s="28" t="n">
        <f aca="false">IF(M$410&gt;=$C$400,Inputs!$C$30*1000*Inputs!$C$16*8760/1000,0)</f>
        <v>112128</v>
      </c>
      <c r="N422" s="28" t="n">
        <f aca="false">IF(N$410&gt;=$C$400,Inputs!$C$30*1000*Inputs!$C$16*8760/1000,0)</f>
        <v>112128</v>
      </c>
      <c r="O422" s="28" t="n">
        <f aca="false">IF(O$410&gt;=$C$400,Inputs!$C$30*1000*Inputs!$C$16*8760/1000,0)</f>
        <v>112128</v>
      </c>
    </row>
    <row r="423" customFormat="false" ht="15" hidden="false" customHeight="false" outlineLevel="0" collapsed="false">
      <c r="B423" s="9" t="s">
        <v>154</v>
      </c>
      <c r="E423" s="24" t="n">
        <f aca="false">E422*Inputs!$C$37*Inputs!$C$27/1000000</f>
        <v>0</v>
      </c>
      <c r="F423" s="24" t="n">
        <f aca="false">F422*Inputs!$C$37*Inputs!$C$27/1000000</f>
        <v>0</v>
      </c>
      <c r="G423" s="24" t="n">
        <f aca="false">G422*Inputs!$C$37*Inputs!$C$27/1000000</f>
        <v>0.4036608</v>
      </c>
      <c r="H423" s="24" t="n">
        <f aca="false">H422*Inputs!$C$37*Inputs!$C$27/1000000</f>
        <v>0.4036608</v>
      </c>
      <c r="I423" s="24" t="n">
        <f aca="false">I422*Inputs!$C$37*Inputs!$C$27/1000000</f>
        <v>0.4036608</v>
      </c>
      <c r="J423" s="24" t="n">
        <f aca="false">J422*Inputs!$C$37*Inputs!$C$27/1000000</f>
        <v>0.4036608</v>
      </c>
      <c r="K423" s="24" t="n">
        <f aca="false">K422*Inputs!$C$37*Inputs!$C$27/1000000</f>
        <v>0.4036608</v>
      </c>
      <c r="L423" s="24" t="n">
        <f aca="false">L422*Inputs!$C$37*Inputs!$C$27/1000000</f>
        <v>0.4036608</v>
      </c>
      <c r="M423" s="24" t="n">
        <f aca="false">M422*Inputs!$C$37*Inputs!$C$27/1000000</f>
        <v>0.4036608</v>
      </c>
      <c r="N423" s="24" t="n">
        <f aca="false">N422*Inputs!$C$37*Inputs!$C$27/1000000</f>
        <v>0.4036608</v>
      </c>
      <c r="O423" s="24" t="n">
        <f aca="false">O422*Inputs!$C$37*Inputs!$C$27/1000000</f>
        <v>0.4036608</v>
      </c>
    </row>
    <row r="424" customFormat="false" ht="15" hidden="false" customHeight="false" outlineLevel="0" collapsed="false">
      <c r="B424" s="9" t="s">
        <v>155</v>
      </c>
      <c r="E424" s="24" t="n">
        <f aca="false">IF(E$410&gt;=$C$400,Inputs!$C$38*E413,0)</f>
        <v>0</v>
      </c>
      <c r="F424" s="24" t="n">
        <f aca="false">IF(F$410&gt;=$C$400,Inputs!$C$38*F413,0)</f>
        <v>0</v>
      </c>
      <c r="G424" s="24" t="n">
        <f aca="false">IF(G$410&gt;=$C$400,Inputs!$C$38*G413,0)</f>
        <v>1.69744</v>
      </c>
      <c r="H424" s="24" t="n">
        <f aca="false">IF(H$410&gt;=$C$400,Inputs!$C$38*H413,0)</f>
        <v>1.7483632</v>
      </c>
      <c r="I424" s="24" t="n">
        <f aca="false">IF(I$410&gt;=$C$400,Inputs!$C$38*I413,0)</f>
        <v>1.800814096</v>
      </c>
      <c r="J424" s="24" t="n">
        <f aca="false">IF(J$410&gt;=$C$400,Inputs!$C$38*J413,0)</f>
        <v>1.85483851888</v>
      </c>
      <c r="K424" s="24" t="n">
        <f aca="false">IF(K$410&gt;=$C$400,Inputs!$C$38*K413,0)</f>
        <v>1.9104836744464</v>
      </c>
      <c r="L424" s="24" t="n">
        <f aca="false">IF(L$410&gt;=$C$400,Inputs!$C$38*L413,0)</f>
        <v>1.96779818467979</v>
      </c>
      <c r="M424" s="24" t="n">
        <f aca="false">IF(M$410&gt;=$C$400,Inputs!$C$38*M413,0)</f>
        <v>2.02683213022019</v>
      </c>
      <c r="N424" s="24" t="n">
        <f aca="false">IF(N$410&gt;=$C$400,Inputs!$C$38*N413,0)</f>
        <v>2.08763709412679</v>
      </c>
      <c r="O424" s="24" t="n">
        <f aca="false">IF(O$410&gt;=$C$400,Inputs!$C$38*O413,0)</f>
        <v>2.1502662069506</v>
      </c>
    </row>
    <row r="425" customFormat="false" ht="15" hidden="false" customHeight="false" outlineLevel="0" collapsed="false">
      <c r="B425" s="9" t="s">
        <v>156</v>
      </c>
      <c r="E425" s="24" t="n">
        <f aca="false">Inputs!$C$12*(E418+E421)</f>
        <v>0.52992</v>
      </c>
      <c r="F425" s="24" t="n">
        <f aca="false">Inputs!$C$12*(F418+F421)</f>
        <v>0.5405184</v>
      </c>
      <c r="G425" s="24" t="n">
        <f aca="false">Inputs!$C$12*(G418+G421)</f>
        <v>0.843168768</v>
      </c>
      <c r="H425" s="24" t="n">
        <f aca="false">Inputs!$C$12*(H418+H421)</f>
        <v>0.86003214336</v>
      </c>
      <c r="I425" s="24" t="n">
        <f aca="false">Inputs!$C$12*(I418+I421)</f>
        <v>0.8772327862272</v>
      </c>
      <c r="J425" s="24" t="n">
        <f aca="false">Inputs!$C$12*(J418+J421)</f>
        <v>0.894777441951744</v>
      </c>
      <c r="K425" s="24" t="n">
        <f aca="false">Inputs!$C$12*(K418+K421)</f>
        <v>0.912672990790779</v>
      </c>
      <c r="L425" s="24" t="n">
        <f aca="false">Inputs!$C$12*(L418+L421)</f>
        <v>0.930926450606595</v>
      </c>
      <c r="M425" s="24" t="n">
        <f aca="false">Inputs!$C$12*(M418+M421)</f>
        <v>0.876499598538642</v>
      </c>
      <c r="N425" s="24" t="n">
        <f aca="false">Inputs!$C$12*(N418+N421)</f>
        <v>0.894029590509414</v>
      </c>
      <c r="O425" s="24" t="n">
        <f aca="false">Inputs!$C$12*(O418+O421)</f>
        <v>0.911910182319603</v>
      </c>
    </row>
    <row r="426" customFormat="false" ht="15" hidden="false" customHeight="false" outlineLevel="0" collapsed="false">
      <c r="B426" s="29" t="s">
        <v>157</v>
      </c>
      <c r="E426" s="30" t="n">
        <f aca="false">E418+E419+E421+E423-E420-E424-E425</f>
        <v>52.1520064</v>
      </c>
      <c r="F426" s="30" t="n">
        <f aca="false">F418+F419+F421+F423-F420-F424-F425</f>
        <v>53.509716544</v>
      </c>
      <c r="G426" s="30" t="n">
        <f aca="false">G418+G419+G421+G423-G420-G424-G425</f>
        <v>82.49173169088</v>
      </c>
      <c r="H426" s="30" t="n">
        <f aca="false">H418+H419+H421+H423-H420-H424-H425</f>
        <v>84.4286918246976</v>
      </c>
      <c r="I426" s="30" t="n">
        <f aca="false">I418+I419+I421+I423-I420-I424-I425</f>
        <v>84.6533802221916</v>
      </c>
      <c r="J426" s="30" t="n">
        <f aca="false">J418+J419+J421+J423-J420-J424-J425</f>
        <v>86.1765571204654</v>
      </c>
      <c r="K426" s="30" t="n">
        <f aca="false">K418+K419+K421+K423-K420-K424-K425</f>
        <v>87.7258313494396</v>
      </c>
      <c r="L426" s="30" t="n">
        <f aca="false">L418+L419+L421+L423-L420-L424-L425</f>
        <v>89.3016060774463</v>
      </c>
      <c r="M426" s="30" t="n">
        <f aca="false">M418+M419+M421+M423-M420-M424-M425</f>
        <v>83.6727965511056</v>
      </c>
      <c r="N426" s="30" t="n">
        <f aca="false">N418+N419+N421+N423-N420-N424-N425</f>
        <v>85.1581711544908</v>
      </c>
      <c r="O426" s="30" t="n">
        <f aca="false">O418+O419+O421+O423-O420-O424-O425</f>
        <v>86.6683920176796</v>
      </c>
    </row>
    <row r="427" customFormat="false" ht="15" hidden="false" customHeight="false" outlineLevel="0" collapsed="false">
      <c r="B427" s="9" t="s">
        <v>158</v>
      </c>
      <c r="E427" s="24" t="n">
        <f aca="false">Inputs!$C$13*E413*IF(AND($C$398="stranded",E$410&gt;Inputs!$C$9),Inputs!$C$56,1)+IF(E$410&gt;=$C$400,Inputs!$C$39*E413,0)</f>
        <v>1.3</v>
      </c>
      <c r="F427" s="24" t="n">
        <f aca="false">Inputs!$C$13*F413*IF(AND($C$398="stranded",F$410&gt;Inputs!$C$9),Inputs!$C$56,1)+IF(F$410&gt;=$C$400,Inputs!$C$39*F413,0)</f>
        <v>1.339</v>
      </c>
      <c r="G427" s="24" t="n">
        <f aca="false">Inputs!$C$13*G413*IF(AND($C$398="stranded",G$410&gt;Inputs!$C$9),Inputs!$C$56,1)+IF(G$410&gt;=$C$400,Inputs!$C$39*G413,0)</f>
        <v>1.90962</v>
      </c>
      <c r="H427" s="24" t="n">
        <f aca="false">Inputs!$C$13*H413*IF(AND($C$398="stranded",H$410&gt;Inputs!$C$9),Inputs!$C$56,1)+IF(H$410&gt;=$C$400,Inputs!$C$39*H413,0)</f>
        <v>1.9669086</v>
      </c>
      <c r="I427" s="24" t="n">
        <f aca="false">Inputs!$C$13*I413*IF(AND($C$398="stranded",I$410&gt;Inputs!$C$9),Inputs!$C$56,1)+IF(I$410&gt;=$C$400,Inputs!$C$39*I413,0)</f>
        <v>2.025915858</v>
      </c>
      <c r="J427" s="24" t="n">
        <f aca="false">Inputs!$C$13*J413*IF(AND($C$398="stranded",J$410&gt;Inputs!$C$9),Inputs!$C$56,1)+IF(J$410&gt;=$C$400,Inputs!$C$39*J413,0)</f>
        <v>2.08669333374</v>
      </c>
      <c r="K427" s="24" t="n">
        <f aca="false">Inputs!$C$13*K413*IF(AND($C$398="stranded",K$410&gt;Inputs!$C$9),Inputs!$C$56,1)+IF(K$410&gt;=$C$400,Inputs!$C$39*K413,0)</f>
        <v>2.1492941337522</v>
      </c>
      <c r="L427" s="24" t="n">
        <f aca="false">Inputs!$C$13*L413*IF(AND($C$398="stranded",L$410&gt;Inputs!$C$9),Inputs!$C$56,1)+IF(L$410&gt;=$C$400,Inputs!$C$39*L413,0)</f>
        <v>2.21377295776477</v>
      </c>
      <c r="M427" s="24" t="n">
        <f aca="false">Inputs!$C$13*M413*IF(AND($C$398="stranded",M$410&gt;Inputs!$C$9),Inputs!$C$56,1)+IF(M$410&gt;=$C$400,Inputs!$C$39*M413,0)</f>
        <v>2.28018614649771</v>
      </c>
      <c r="N427" s="24" t="n">
        <f aca="false">Inputs!$C$13*N413*IF(AND($C$398="stranded",N$410&gt;Inputs!$C$9),Inputs!$C$56,1)+IF(N$410&gt;=$C$400,Inputs!$C$39*N413,0)</f>
        <v>2.34859173089264</v>
      </c>
      <c r="O427" s="24" t="n">
        <f aca="false">Inputs!$C$13*O413*IF(AND($C$398="stranded",O$410&gt;Inputs!$C$9),Inputs!$C$56,1)+IF(O$410&gt;=$C$400,Inputs!$C$39*O413,0)</f>
        <v>2.41904948281942</v>
      </c>
    </row>
    <row r="428" customFormat="false" ht="15" hidden="false" customHeight="false" outlineLevel="0" collapsed="false">
      <c r="B428" s="9" t="s">
        <v>159</v>
      </c>
      <c r="E428" s="24" t="n">
        <f aca="false">IF(OR(E$410=1,E$410=2),Inputs!$C$31*Inputs!$C$30/2,0)+IF(AND(E$410=2,$C$400&gt;Inputs!$C$33),Inputs!$C$31*Inputs!$C$30*Inputs!$C$36*($C$400-Inputs!$C$33),0)</f>
        <v>84</v>
      </c>
      <c r="F428" s="24" t="n">
        <f aca="false">IF(OR(F$410=1,F$410=2),Inputs!$C$31*Inputs!$C$30/2,0)+IF(AND(F$410=2,$C$400&gt;Inputs!$C$33),Inputs!$C$31*Inputs!$C$30*Inputs!$C$36*($C$400-Inputs!$C$33),0)</f>
        <v>84</v>
      </c>
      <c r="G428" s="24" t="n">
        <f aca="false">IF(OR(G$410=1,G$410=2),Inputs!$C$31*Inputs!$C$30/2,0)+IF(AND(G$410=2,$C$400&gt;Inputs!$C$33),Inputs!$C$31*Inputs!$C$30*Inputs!$C$36*($C$400-Inputs!$C$33),0)</f>
        <v>0</v>
      </c>
      <c r="H428" s="24" t="n">
        <f aca="false">IF(OR(H$410=1,H$410=2),Inputs!$C$31*Inputs!$C$30/2,0)+IF(AND(H$410=2,$C$400&gt;Inputs!$C$33),Inputs!$C$31*Inputs!$C$30*Inputs!$C$36*($C$400-Inputs!$C$33),0)</f>
        <v>0</v>
      </c>
      <c r="I428" s="24" t="n">
        <f aca="false">IF(OR(I$410=1,I$410=2),Inputs!$C$31*Inputs!$C$30/2,0)+IF(AND(I$410=2,$C$400&gt;Inputs!$C$33),Inputs!$C$31*Inputs!$C$30*Inputs!$C$36*($C$400-Inputs!$C$33),0)</f>
        <v>0</v>
      </c>
      <c r="J428" s="24" t="n">
        <f aca="false">IF(OR(J$410=1,J$410=2),Inputs!$C$31*Inputs!$C$30/2,0)+IF(AND(J$410=2,$C$400&gt;Inputs!$C$33),Inputs!$C$31*Inputs!$C$30*Inputs!$C$36*($C$400-Inputs!$C$33),0)</f>
        <v>0</v>
      </c>
      <c r="K428" s="24" t="n">
        <f aca="false">IF(OR(K$410=1,K$410=2),Inputs!$C$31*Inputs!$C$30/2,0)+IF(AND(K$410=2,$C$400&gt;Inputs!$C$33),Inputs!$C$31*Inputs!$C$30*Inputs!$C$36*($C$400-Inputs!$C$33),0)</f>
        <v>0</v>
      </c>
      <c r="L428" s="24" t="n">
        <f aca="false">IF(OR(L$410=1,L$410=2),Inputs!$C$31*Inputs!$C$30/2,0)+IF(AND(L$410=2,$C$400&gt;Inputs!$C$33),Inputs!$C$31*Inputs!$C$30*Inputs!$C$36*($C$400-Inputs!$C$33),0)</f>
        <v>0</v>
      </c>
      <c r="M428" s="24" t="n">
        <f aca="false">IF(OR(M$410=1,M$410=2),Inputs!$C$31*Inputs!$C$30/2,0)+IF(AND(M$410=2,$C$400&gt;Inputs!$C$33),Inputs!$C$31*Inputs!$C$30*Inputs!$C$36*($C$400-Inputs!$C$33),0)</f>
        <v>0</v>
      </c>
      <c r="N428" s="24" t="n">
        <f aca="false">IF(OR(N$410=1,N$410=2),Inputs!$C$31*Inputs!$C$30/2,0)+IF(AND(N$410=2,$C$400&gt;Inputs!$C$33),Inputs!$C$31*Inputs!$C$30*Inputs!$C$36*($C$400-Inputs!$C$33),0)</f>
        <v>0</v>
      </c>
      <c r="O428" s="24" t="n">
        <f aca="false">IF(OR(O$410=1,O$410=2),Inputs!$C$31*Inputs!$C$30/2,0)+IF(AND(O$410=2,$C$400&gt;Inputs!$C$33),Inputs!$C$31*Inputs!$C$30*Inputs!$C$36*($C$400-Inputs!$C$33),0)</f>
        <v>0</v>
      </c>
    </row>
    <row r="429" customFormat="false" ht="15" hidden="false" customHeight="false" outlineLevel="0" collapsed="false">
      <c r="B429" s="9" t="s">
        <v>160</v>
      </c>
      <c r="E429" s="24" t="n">
        <f aca="false">IF(E$410=Inputs!$C$9+1,Inputs!$C$6*IF($C$398="renew",Inputs!$C$44,IF($C$398="retrofit",Inputs!$C$45,IF($C$398="relet",Inputs!$C$55,0))),0)</f>
        <v>0</v>
      </c>
      <c r="F429" s="24" t="n">
        <f aca="false">IF(F$410=Inputs!$C$9+1,Inputs!$C$6*IF($C$398="renew",Inputs!$C$44,IF($C$398="retrofit",Inputs!$C$45,IF($C$398="relet",Inputs!$C$55,0))),0)</f>
        <v>0</v>
      </c>
      <c r="G429" s="24" t="n">
        <f aca="false">IF(G$410=Inputs!$C$9+1,Inputs!$C$6*IF($C$398="renew",Inputs!$C$44,IF($C$398="retrofit",Inputs!$C$45,IF($C$398="relet",Inputs!$C$55,0))),0)</f>
        <v>0</v>
      </c>
      <c r="H429" s="24" t="n">
        <f aca="false">IF(H$410=Inputs!$C$9+1,Inputs!$C$6*IF($C$398="renew",Inputs!$C$44,IF($C$398="retrofit",Inputs!$C$45,IF($C$398="relet",Inputs!$C$55,0))),0)</f>
        <v>0</v>
      </c>
      <c r="I429" s="24" t="n">
        <f aca="false">IF(I$410=Inputs!$C$9+1,Inputs!$C$6*IF($C$398="renew",Inputs!$C$44,IF($C$398="retrofit",Inputs!$C$45,IF($C$398="relet",Inputs!$C$55,0))),0)</f>
        <v>0</v>
      </c>
      <c r="J429" s="24" t="n">
        <f aca="false">IF(J$410=Inputs!$C$9+1,Inputs!$C$6*IF($C$398="renew",Inputs!$C$44,IF($C$398="retrofit",Inputs!$C$45,IF($C$398="relet",Inputs!$C$55,0))),0)</f>
        <v>0</v>
      </c>
      <c r="K429" s="24" t="n">
        <f aca="false">IF(K$410=Inputs!$C$9+1,Inputs!$C$6*IF($C$398="renew",Inputs!$C$44,IF($C$398="retrofit",Inputs!$C$45,IF($C$398="relet",Inputs!$C$55,0))),0)</f>
        <v>0</v>
      </c>
      <c r="L429" s="24" t="n">
        <f aca="false">IF(L$410=Inputs!$C$9+1,Inputs!$C$6*IF($C$398="renew",Inputs!$C$44,IF($C$398="retrofit",Inputs!$C$45,IF($C$398="relet",Inputs!$C$55,0))),0)</f>
        <v>0</v>
      </c>
      <c r="M429" s="24" t="n">
        <f aca="false">IF(M$410=Inputs!$C$9+1,Inputs!$C$6*IF($C$398="renew",Inputs!$C$44,IF($C$398="retrofit",Inputs!$C$45,IF($C$398="relet",Inputs!$C$55,0))),0)</f>
        <v>12.8</v>
      </c>
      <c r="N429" s="24" t="n">
        <f aca="false">IF(N$410=Inputs!$C$9+1,Inputs!$C$6*IF($C$398="renew",Inputs!$C$44,IF($C$398="retrofit",Inputs!$C$45,IF($C$398="relet",Inputs!$C$55,0))),0)</f>
        <v>0</v>
      </c>
      <c r="O429" s="24" t="n">
        <f aca="false">IF(O$410=Inputs!$C$9+1,Inputs!$C$6*IF($C$398="renew",Inputs!$C$44,IF($C$398="retrofit",Inputs!$C$45,IF($C$398="relet",Inputs!$C$55,0))),0)</f>
        <v>0</v>
      </c>
    </row>
    <row r="430" customFormat="false" ht="15" hidden="false" customHeight="false" outlineLevel="0" collapsed="false">
      <c r="B430" s="29" t="s">
        <v>161</v>
      </c>
      <c r="E430" s="30" t="n">
        <f aca="false">E426-E427-E428-E429</f>
        <v>-33.1479936</v>
      </c>
      <c r="F430" s="30" t="n">
        <f aca="false">F426-F427-F428-F429</f>
        <v>-31.829283456</v>
      </c>
      <c r="G430" s="30" t="n">
        <f aca="false">G426-G427-G428-G429</f>
        <v>80.58211169088</v>
      </c>
      <c r="H430" s="30" t="n">
        <f aca="false">H426-H427-H428-H429</f>
        <v>82.4617832246976</v>
      </c>
      <c r="I430" s="30" t="n">
        <f aca="false">I426-I427-I428-I429</f>
        <v>82.6274643641916</v>
      </c>
      <c r="J430" s="30" t="n">
        <f aca="false">J426-J427-J428-J429</f>
        <v>84.0898637867254</v>
      </c>
      <c r="K430" s="30" t="n">
        <f aca="false">K426-K427-K428-K429</f>
        <v>85.5765372156874</v>
      </c>
      <c r="L430" s="30" t="n">
        <f aca="false">L426-L427-L428-L429</f>
        <v>87.0878331196815</v>
      </c>
      <c r="M430" s="30" t="n">
        <f aca="false">M426-M427-M428-M429</f>
        <v>68.5926104046078</v>
      </c>
      <c r="N430" s="30" t="n">
        <f aca="false">N426-N427-N428-N429</f>
        <v>82.8095794235981</v>
      </c>
      <c r="O430" s="30" t="n">
        <f aca="false">O426-O427-O428-O429</f>
        <v>84.2493425348602</v>
      </c>
    </row>
    <row r="431" customFormat="false" ht="15" hidden="false" customHeight="false" outlineLevel="0" collapsed="false">
      <c r="B431" s="6" t="s">
        <v>162</v>
      </c>
    </row>
    <row r="433" customFormat="false" ht="15" hidden="false" customHeight="false" outlineLevel="0" collapsed="false">
      <c r="B433" s="9" t="s">
        <v>163</v>
      </c>
      <c r="C433" s="23" t="n">
        <f aca="false">IF($C$398="renew",Inputs!$C$67,IF($C$398="retrofit",Inputs!$C$68,IF($C$398="relet",Inputs!$C$69,Inputs!$C$70)))+$C$404</f>
        <v>0.0625</v>
      </c>
    </row>
    <row r="434" customFormat="false" ht="15" hidden="false" customHeight="false" outlineLevel="0" collapsed="false">
      <c r="B434" s="9" t="s">
        <v>164</v>
      </c>
      <c r="C434" s="24" t="n">
        <f aca="false">O421+O423-O424-Inputs!$C$12*O421</f>
        <v>32.1051648944678</v>
      </c>
    </row>
    <row r="435" customFormat="false" ht="15" hidden="false" customHeight="false" outlineLevel="0" collapsed="false">
      <c r="B435" s="9" t="s">
        <v>165</v>
      </c>
      <c r="C435" s="24" t="n">
        <f aca="false">O426-$C$434</f>
        <v>54.5632271232118</v>
      </c>
    </row>
    <row r="436" customFormat="false" ht="15" hidden="false" customHeight="false" outlineLevel="0" collapsed="false">
      <c r="B436" s="9" t="s">
        <v>166</v>
      </c>
      <c r="C436" s="24" t="n">
        <f aca="false">IF($C$398="stranded",Inputs!$C$57*Inputs!$C$6-Inputs!$C$58,0)</f>
        <v>0</v>
      </c>
    </row>
    <row r="437" customFormat="false" ht="15" hidden="false" customHeight="false" outlineLevel="0" collapsed="false">
      <c r="B437" s="9" t="s">
        <v>167</v>
      </c>
      <c r="C437" s="24" t="n">
        <f aca="false">($C$434+$C$435)/$C$433+$C$436</f>
        <v>1386.69427228287</v>
      </c>
    </row>
    <row r="438" customFormat="false" ht="15" hidden="false" customHeight="false" outlineLevel="0" collapsed="false">
      <c r="B438" s="29" t="s">
        <v>168</v>
      </c>
      <c r="C438" s="30" t="n">
        <f aca="false">$C$437*(1-Inputs!$C$66)</f>
        <v>1365.89385819863</v>
      </c>
    </row>
    <row r="439" customFormat="false" ht="15" hidden="false" customHeight="false" outlineLevel="0" collapsed="false">
      <c r="B439" s="9" t="s">
        <v>169</v>
      </c>
      <c r="C439" s="24" t="n">
        <f aca="false">$C$408*(1+Inputs!$C$65)</f>
        <v>918</v>
      </c>
    </row>
    <row r="441" customFormat="false" ht="15" hidden="false" customHeight="false" outlineLevel="0" collapsed="false">
      <c r="B441" s="25" t="s">
        <v>170</v>
      </c>
      <c r="C441" s="26"/>
      <c r="D441" s="26" t="n">
        <v>0</v>
      </c>
      <c r="E441" s="26" t="n">
        <v>1</v>
      </c>
      <c r="F441" s="26" t="n">
        <v>2</v>
      </c>
      <c r="G441" s="26" t="n">
        <v>3</v>
      </c>
      <c r="H441" s="26" t="n">
        <v>4</v>
      </c>
      <c r="I441" s="26" t="n">
        <v>5</v>
      </c>
      <c r="J441" s="26" t="n">
        <v>6</v>
      </c>
      <c r="K441" s="26" t="n">
        <v>7</v>
      </c>
      <c r="L441" s="26" t="n">
        <v>8</v>
      </c>
      <c r="M441" s="26" t="n">
        <v>9</v>
      </c>
      <c r="N441" s="26" t="n">
        <v>10</v>
      </c>
    </row>
    <row r="442" customFormat="false" ht="15" hidden="false" customHeight="false" outlineLevel="0" collapsed="false">
      <c r="B442" s="29" t="s">
        <v>171</v>
      </c>
      <c r="D442" s="30" t="n">
        <f aca="false">-$C$439</f>
        <v>-918</v>
      </c>
      <c r="E442" s="30" t="n">
        <f aca="false">E430</f>
        <v>-33.1479936</v>
      </c>
      <c r="F442" s="30" t="n">
        <f aca="false">F430</f>
        <v>-31.829283456</v>
      </c>
      <c r="G442" s="30" t="n">
        <f aca="false">G430</f>
        <v>80.58211169088</v>
      </c>
      <c r="H442" s="30" t="n">
        <f aca="false">H430</f>
        <v>82.4617832246976</v>
      </c>
      <c r="I442" s="30" t="n">
        <f aca="false">I430</f>
        <v>82.6274643641916</v>
      </c>
      <c r="J442" s="30" t="n">
        <f aca="false">J430</f>
        <v>84.0898637867254</v>
      </c>
      <c r="K442" s="30" t="n">
        <f aca="false">K430</f>
        <v>85.5765372156874</v>
      </c>
      <c r="L442" s="30" t="n">
        <f aca="false">L430</f>
        <v>87.0878331196815</v>
      </c>
      <c r="M442" s="30" t="n">
        <f aca="false">M430</f>
        <v>68.5926104046078</v>
      </c>
      <c r="N442" s="30" t="n">
        <f aca="false">N430+$C$438</f>
        <v>1448.70343762223</v>
      </c>
    </row>
    <row r="443" customFormat="false" ht="15" hidden="false" customHeight="false" outlineLevel="0" collapsed="false">
      <c r="B443" s="29" t="s">
        <v>172</v>
      </c>
      <c r="C443" s="31" t="n">
        <f aca="false">IRR(D442:N442,0.08)</f>
        <v>0.0877492126640756</v>
      </c>
    </row>
    <row r="446" customFormat="false" ht="15" hidden="false" customHeight="false" outlineLevel="0" collapsed="false">
      <c r="B446" s="7" t="s">
        <v>233</v>
      </c>
      <c r="C446" s="8"/>
      <c r="D446" s="8"/>
      <c r="E446" s="8"/>
      <c r="F446" s="8"/>
      <c r="G446" s="8"/>
      <c r="H446" s="8"/>
      <c r="I446" s="8"/>
      <c r="J446" s="8"/>
      <c r="K446" s="8"/>
      <c r="L446" s="8"/>
      <c r="M446" s="8"/>
      <c r="N446" s="8"/>
      <c r="O446" s="8"/>
    </row>
    <row r="447" customFormat="false" ht="15" hidden="false" customHeight="false" outlineLevel="0" collapsed="false">
      <c r="B447" s="9" t="s">
        <v>130</v>
      </c>
      <c r="C447" s="18" t="str">
        <f aca="false">Inputs!$C$42</f>
        <v>renew</v>
      </c>
    </row>
    <row r="448" customFormat="false" ht="15" hidden="false" customHeight="false" outlineLevel="0" collapsed="false">
      <c r="B448" s="9" t="s">
        <v>131</v>
      </c>
      <c r="C448" s="19" t="n">
        <f aca="false">Inputs!$C$92</f>
        <v>0.4</v>
      </c>
    </row>
    <row r="449" customFormat="false" ht="15" hidden="false" customHeight="false" outlineLevel="0" collapsed="false">
      <c r="B449" s="9" t="s">
        <v>132</v>
      </c>
      <c r="C449" s="20" t="n">
        <f aca="false">Inputs!$C$32</f>
        <v>3</v>
      </c>
    </row>
    <row r="450" customFormat="false" ht="15" hidden="false" customHeight="false" outlineLevel="0" collapsed="false">
      <c r="B450" s="9" t="s">
        <v>133</v>
      </c>
      <c r="C450" s="13" t="n">
        <v>0</v>
      </c>
    </row>
    <row r="451" customFormat="false" ht="15" hidden="false" customHeight="false" outlineLevel="0" collapsed="false">
      <c r="B451" s="9" t="s">
        <v>134</v>
      </c>
      <c r="C451" s="21" t="n">
        <f aca="false">Inputs!$C$60</f>
        <v>0.45</v>
      </c>
    </row>
    <row r="452" customFormat="false" ht="15" hidden="false" customHeight="false" outlineLevel="0" collapsed="false">
      <c r="B452" s="9" t="s">
        <v>135</v>
      </c>
      <c r="C452" s="22" t="n">
        <f aca="false">Inputs!$C$61</f>
        <v>1.55</v>
      </c>
    </row>
    <row r="453" customFormat="false" ht="15" hidden="false" customHeight="false" outlineLevel="0" collapsed="false">
      <c r="B453" s="9" t="s">
        <v>136</v>
      </c>
      <c r="C453" s="23" t="n">
        <f aca="false">Inputs!$C$71</f>
        <v>0</v>
      </c>
    </row>
    <row r="454" customFormat="false" ht="15" hidden="false" customHeight="false" outlineLevel="0" collapsed="false">
      <c r="B454" s="9" t="s">
        <v>30</v>
      </c>
      <c r="C454" s="22" t="n">
        <f aca="false">Inputs!$C$96</f>
        <v>1.3</v>
      </c>
    </row>
    <row r="455" customFormat="false" ht="15" hidden="false" customHeight="false" outlineLevel="0" collapsed="false">
      <c r="B455" s="9" t="s">
        <v>137</v>
      </c>
      <c r="C455" s="19" t="n">
        <f aca="false">Inputs!$C$43</f>
        <v>0.9</v>
      </c>
    </row>
    <row r="456" customFormat="false" ht="15" hidden="false" customHeight="false" outlineLevel="0" collapsed="false">
      <c r="B456" s="9" t="s">
        <v>138</v>
      </c>
      <c r="C456" s="24" t="n">
        <f aca="false">Inputs!$C$49</f>
        <v>120</v>
      </c>
    </row>
    <row r="457" customFormat="false" ht="15" hidden="false" customHeight="false" outlineLevel="0" collapsed="false">
      <c r="B457" s="9" t="s">
        <v>139</v>
      </c>
      <c r="C457" s="24" t="n">
        <f aca="false">Inputs!$C$64</f>
        <v>900</v>
      </c>
    </row>
    <row r="458" customFormat="false" ht="15" hidden="false" customHeight="false" outlineLevel="0" collapsed="false">
      <c r="B458" s="9" t="s">
        <v>140</v>
      </c>
      <c r="C458" s="24" t="n">
        <f aca="false">Inputs!$C$6*1000*Inputs!$C$7*12*(1+Inputs!$C$8)^(Inputs!$C$9-1)/1000000</f>
        <v>60.8711509000706</v>
      </c>
    </row>
    <row r="459" customFormat="false" ht="15" hidden="false" customHeight="false" outlineLevel="0" collapsed="false">
      <c r="B459" s="25" t="s">
        <v>141</v>
      </c>
      <c r="C459" s="26"/>
      <c r="E459" s="26" t="n">
        <v>1</v>
      </c>
      <c r="F459" s="26" t="n">
        <v>2</v>
      </c>
      <c r="G459" s="26" t="n">
        <v>3</v>
      </c>
      <c r="H459" s="26" t="n">
        <v>4</v>
      </c>
      <c r="I459" s="26" t="n">
        <v>5</v>
      </c>
      <c r="J459" s="26" t="n">
        <v>6</v>
      </c>
      <c r="K459" s="26" t="n">
        <v>7</v>
      </c>
      <c r="L459" s="26" t="n">
        <v>8</v>
      </c>
      <c r="M459" s="26" t="n">
        <v>9</v>
      </c>
      <c r="N459" s="26" t="n">
        <v>10</v>
      </c>
      <c r="O459" s="26" t="n">
        <v>11</v>
      </c>
    </row>
    <row r="460" customFormat="false" ht="15" hidden="false" customHeight="false" outlineLevel="0" collapsed="false">
      <c r="B460" s="9" t="s">
        <v>142</v>
      </c>
      <c r="E460" s="24" t="n">
        <f aca="false">IF(E$459&lt;=Inputs!$C$22,Inputs!$C$21,Inputs!$C$23*(1+Inputs!$C$24)^(E$459-5)*IF(AND($C$448&lt;&gt;0,E$459&gt;=Inputs!$C$26),1+$C$448,1))</f>
        <v>61</v>
      </c>
      <c r="F460" s="24" t="n">
        <f aca="false">IF(F$459&lt;=Inputs!$C$22,Inputs!$C$21,Inputs!$C$23*(1+Inputs!$C$24)^(F$459-5)*IF(AND($C$448&lt;&gt;0,F$459&gt;=Inputs!$C$26),1+$C$448,1))</f>
        <v>61</v>
      </c>
      <c r="G460" s="24" t="n">
        <f aca="false">IF(G$459&lt;=Inputs!$C$22,Inputs!$C$21,Inputs!$C$23*(1+Inputs!$C$24)^(G$459-5)*IF(AND($C$448&lt;&gt;0,G$459&gt;=Inputs!$C$26),1+$C$448,1))</f>
        <v>61</v>
      </c>
      <c r="H460" s="24" t="n">
        <f aca="false">IF(H$459&lt;=Inputs!$C$22,Inputs!$C$21,Inputs!$C$23*(1+Inputs!$C$24)^(H$459-5)*IF(AND($C$448&lt;&gt;0,H$459&gt;=Inputs!$C$26),1+$C$448,1))</f>
        <v>61</v>
      </c>
      <c r="I460" s="24" t="n">
        <f aca="false">IF(I$459&lt;=Inputs!$C$22,Inputs!$C$21,Inputs!$C$23*(1+Inputs!$C$24)^(I$459-5)*IF(AND($C$448&lt;&gt;0,I$459&gt;=Inputs!$C$26),1+$C$448,1))</f>
        <v>93.8</v>
      </c>
      <c r="J460" s="24" t="n">
        <f aca="false">IF(J$459&lt;=Inputs!$C$22,Inputs!$C$21,Inputs!$C$23*(1+Inputs!$C$24)^(J$459-5)*IF(AND($C$448&lt;&gt;0,J$459&gt;=Inputs!$C$26),1+$C$448,1))</f>
        <v>96.145</v>
      </c>
      <c r="K460" s="24" t="n">
        <f aca="false">IF(K$459&lt;=Inputs!$C$22,Inputs!$C$21,Inputs!$C$23*(1+Inputs!$C$24)^(K$459-5)*IF(AND($C$448&lt;&gt;0,K$459&gt;=Inputs!$C$26),1+$C$448,1))</f>
        <v>98.548625</v>
      </c>
      <c r="L460" s="24" t="n">
        <f aca="false">IF(L$459&lt;=Inputs!$C$22,Inputs!$C$21,Inputs!$C$23*(1+Inputs!$C$24)^(L$459-5)*IF(AND($C$448&lt;&gt;0,L$459&gt;=Inputs!$C$26),1+$C$448,1))</f>
        <v>101.012340625</v>
      </c>
      <c r="M460" s="24" t="n">
        <f aca="false">IF(M$459&lt;=Inputs!$C$22,Inputs!$C$21,Inputs!$C$23*(1+Inputs!$C$24)^(M$459-5)*IF(AND($C$448&lt;&gt;0,M$459&gt;=Inputs!$C$26),1+$C$448,1))</f>
        <v>103.537649140625</v>
      </c>
      <c r="N460" s="24" t="n">
        <f aca="false">IF(N$459&lt;=Inputs!$C$22,Inputs!$C$21,Inputs!$C$23*(1+Inputs!$C$24)^(N$459-5)*IF(AND($C$448&lt;&gt;0,N$459&gt;=Inputs!$C$26),1+$C$448,1))</f>
        <v>106.126090369141</v>
      </c>
      <c r="O460" s="24" t="n">
        <f aca="false">IF(O$459&lt;=Inputs!$C$22,Inputs!$C$21,Inputs!$C$23*(1+Inputs!$C$24)^(O$459-5)*IF(AND($C$448&lt;&gt;0,O$459&gt;=Inputs!$C$26),1+$C$448,1))</f>
        <v>108.779242628369</v>
      </c>
    </row>
    <row r="461" customFormat="false" ht="15" hidden="false" customHeight="false" outlineLevel="0" collapsed="false">
      <c r="B461" s="9" t="s">
        <v>143</v>
      </c>
      <c r="E461" s="24" t="n">
        <f aca="false">Inputs!$C$19*(1+Inputs!$C$20)^(E$459-1)</f>
        <v>74</v>
      </c>
      <c r="F461" s="24" t="n">
        <f aca="false">Inputs!$C$19*(1+Inputs!$C$20)^(F$459-1)</f>
        <v>75.48</v>
      </c>
      <c r="G461" s="24" t="n">
        <f aca="false">Inputs!$C$19*(1+Inputs!$C$20)^(G$459-1)</f>
        <v>76.9896</v>
      </c>
      <c r="H461" s="24" t="n">
        <f aca="false">Inputs!$C$19*(1+Inputs!$C$20)^(H$459-1)</f>
        <v>78.529392</v>
      </c>
      <c r="I461" s="24" t="n">
        <f aca="false">Inputs!$C$19*(1+Inputs!$C$20)^(I$459-1)</f>
        <v>80.09997984</v>
      </c>
      <c r="J461" s="24" t="n">
        <f aca="false">Inputs!$C$19*(1+Inputs!$C$20)^(J$459-1)</f>
        <v>81.7019794368</v>
      </c>
      <c r="K461" s="24" t="n">
        <f aca="false">Inputs!$C$19*(1+Inputs!$C$20)^(K$459-1)</f>
        <v>83.336019025536</v>
      </c>
      <c r="L461" s="24" t="n">
        <f aca="false">Inputs!$C$19*(1+Inputs!$C$20)^(L$459-1)</f>
        <v>85.0027394060467</v>
      </c>
      <c r="M461" s="24" t="n">
        <f aca="false">Inputs!$C$19*(1+Inputs!$C$20)^(M$459-1)</f>
        <v>86.7027941941677</v>
      </c>
      <c r="N461" s="24" t="n">
        <f aca="false">Inputs!$C$19*(1+Inputs!$C$20)^(N$459-1)</f>
        <v>88.436850078051</v>
      </c>
      <c r="O461" s="24" t="n">
        <f aca="false">Inputs!$C$19*(1+Inputs!$C$20)^(O$459-1)</f>
        <v>90.205587079612</v>
      </c>
    </row>
    <row r="462" customFormat="false" ht="15" hidden="false" customHeight="false" outlineLevel="0" collapsed="false">
      <c r="B462" s="9" t="s">
        <v>144</v>
      </c>
      <c r="E462" s="27" t="n">
        <f aca="false">(1+Inputs!$C$11)^(E$459-1)</f>
        <v>1</v>
      </c>
      <c r="F462" s="27" t="n">
        <f aca="false">(1+Inputs!$C$11)^(F$459-1)</f>
        <v>1.03</v>
      </c>
      <c r="G462" s="27" t="n">
        <f aca="false">(1+Inputs!$C$11)^(G$459-1)</f>
        <v>1.0609</v>
      </c>
      <c r="H462" s="27" t="n">
        <f aca="false">(1+Inputs!$C$11)^(H$459-1)</f>
        <v>1.092727</v>
      </c>
      <c r="I462" s="27" t="n">
        <f aca="false">(1+Inputs!$C$11)^(I$459-1)</f>
        <v>1.12550881</v>
      </c>
      <c r="J462" s="27" t="n">
        <f aca="false">(1+Inputs!$C$11)^(J$459-1)</f>
        <v>1.1592740743</v>
      </c>
      <c r="K462" s="27" t="n">
        <f aca="false">(1+Inputs!$C$11)^(K$459-1)</f>
        <v>1.194052296529</v>
      </c>
      <c r="L462" s="27" t="n">
        <f aca="false">(1+Inputs!$C$11)^(L$459-1)</f>
        <v>1.22987386542487</v>
      </c>
      <c r="M462" s="27" t="n">
        <f aca="false">(1+Inputs!$C$11)^(M$459-1)</f>
        <v>1.26677008138762</v>
      </c>
      <c r="N462" s="27" t="n">
        <f aca="false">(1+Inputs!$C$11)^(N$459-1)</f>
        <v>1.30477318382925</v>
      </c>
      <c r="O462" s="27" t="n">
        <f aca="false">(1+Inputs!$C$11)^(O$459-1)</f>
        <v>1.34391637934412</v>
      </c>
    </row>
    <row r="463" customFormat="false" ht="15" hidden="false" customHeight="false" outlineLevel="0" collapsed="false">
      <c r="B463" s="9" t="s">
        <v>145</v>
      </c>
      <c r="E463" s="19" t="n">
        <f aca="false">IF(OR(E$459&lt;=Inputs!$C$9,$C$447="renew"),IF(AND($C$450&gt;0,E$459&gt;=$C$450),$C$451,Inputs!$C$16),IF($C$447="stranded",0,Inputs!$C$16))</f>
        <v>0.8</v>
      </c>
      <c r="F463" s="19" t="n">
        <f aca="false">IF(OR(F$459&lt;=Inputs!$C$9,$C$447="renew"),IF(AND($C$450&gt;0,F$459&gt;=$C$450),$C$451,Inputs!$C$16),IF($C$447="stranded",0,Inputs!$C$16))</f>
        <v>0.8</v>
      </c>
      <c r="G463" s="19" t="n">
        <f aca="false">IF(OR(G$459&lt;=Inputs!$C$9,$C$447="renew"),IF(AND($C$450&gt;0,G$459&gt;=$C$450),$C$451,Inputs!$C$16),IF($C$447="stranded",0,Inputs!$C$16))</f>
        <v>0.8</v>
      </c>
      <c r="H463" s="19" t="n">
        <f aca="false">IF(OR(H$459&lt;=Inputs!$C$9,$C$447="renew"),IF(AND($C$450&gt;0,H$459&gt;=$C$450),$C$451,Inputs!$C$16),IF($C$447="stranded",0,Inputs!$C$16))</f>
        <v>0.8</v>
      </c>
      <c r="I463" s="19" t="n">
        <f aca="false">IF(OR(I$459&lt;=Inputs!$C$9,$C$447="renew"),IF(AND($C$450&gt;0,I$459&gt;=$C$450),$C$451,Inputs!$C$16),IF($C$447="stranded",0,Inputs!$C$16))</f>
        <v>0.8</v>
      </c>
      <c r="J463" s="19" t="n">
        <f aca="false">IF(OR(J$459&lt;=Inputs!$C$9,$C$447="renew"),IF(AND($C$450&gt;0,J$459&gt;=$C$450),$C$451,Inputs!$C$16),IF($C$447="stranded",0,Inputs!$C$16))</f>
        <v>0.8</v>
      </c>
      <c r="K463" s="19" t="n">
        <f aca="false">IF(OR(K$459&lt;=Inputs!$C$9,$C$447="renew"),IF(AND($C$450&gt;0,K$459&gt;=$C$450),$C$451,Inputs!$C$16),IF($C$447="stranded",0,Inputs!$C$16))</f>
        <v>0.8</v>
      </c>
      <c r="L463" s="19" t="n">
        <f aca="false">IF(OR(L$459&lt;=Inputs!$C$9,$C$447="renew"),IF(AND($C$450&gt;0,L$459&gt;=$C$450),$C$451,Inputs!$C$16),IF($C$447="stranded",0,Inputs!$C$16))</f>
        <v>0.8</v>
      </c>
      <c r="M463" s="19" t="n">
        <f aca="false">IF(OR(M$459&lt;=Inputs!$C$9,$C$447="renew"),IF(AND($C$450&gt;0,M$459&gt;=$C$450),$C$451,Inputs!$C$16),IF($C$447="stranded",0,Inputs!$C$16))</f>
        <v>0.8</v>
      </c>
      <c r="N463" s="19" t="n">
        <f aca="false">IF(OR(N$459&lt;=Inputs!$C$9,$C$447="renew"),IF(AND($C$450&gt;0,N$459&gt;=$C$450),$C$451,Inputs!$C$16),IF($C$447="stranded",0,Inputs!$C$16))</f>
        <v>0.8</v>
      </c>
      <c r="O463" s="19" t="n">
        <f aca="false">IF(OR(O$459&lt;=Inputs!$C$9,$C$447="renew"),IF(AND($C$450&gt;0,O$459&gt;=$C$450),$C$451,Inputs!$C$16),IF($C$447="stranded",0,Inputs!$C$16))</f>
        <v>0.8</v>
      </c>
    </row>
    <row r="464" customFormat="false" ht="15" hidden="false" customHeight="false" outlineLevel="0" collapsed="false">
      <c r="B464" s="9" t="s">
        <v>146</v>
      </c>
      <c r="E464" s="22" t="n">
        <f aca="false">IF(OR(E$459&lt;=Inputs!$C$9,$C$447="renew"),IF(AND($C$450&gt;0,E$459&gt;=$C$450),$C$452,$C$454),IF($C$447="retrofit",Inputs!$C$47,IF($C$447="relet",Inputs!$C$53,0)))</f>
        <v>1.3</v>
      </c>
      <c r="F464" s="22" t="n">
        <f aca="false">IF(OR(F$459&lt;=Inputs!$C$9,$C$447="renew"),IF(AND($C$450&gt;0,F$459&gt;=$C$450),$C$452,$C$454),IF($C$447="retrofit",Inputs!$C$47,IF($C$447="relet",Inputs!$C$53,0)))</f>
        <v>1.3</v>
      </c>
      <c r="G464" s="22" t="n">
        <f aca="false">IF(OR(G$459&lt;=Inputs!$C$9,$C$447="renew"),IF(AND($C$450&gt;0,G$459&gt;=$C$450),$C$452,$C$454),IF($C$447="retrofit",Inputs!$C$47,IF($C$447="relet",Inputs!$C$53,0)))</f>
        <v>1.3</v>
      </c>
      <c r="H464" s="22" t="n">
        <f aca="false">IF(OR(H$459&lt;=Inputs!$C$9,$C$447="renew"),IF(AND($C$450&gt;0,H$459&gt;=$C$450),$C$452,$C$454),IF($C$447="retrofit",Inputs!$C$47,IF($C$447="relet",Inputs!$C$53,0)))</f>
        <v>1.3</v>
      </c>
      <c r="I464" s="22" t="n">
        <f aca="false">IF(OR(I$459&lt;=Inputs!$C$9,$C$447="renew"),IF(AND($C$450&gt;0,I$459&gt;=$C$450),$C$452,$C$454),IF($C$447="retrofit",Inputs!$C$47,IF($C$447="relet",Inputs!$C$53,0)))</f>
        <v>1.3</v>
      </c>
      <c r="J464" s="22" t="n">
        <f aca="false">IF(OR(J$459&lt;=Inputs!$C$9,$C$447="renew"),IF(AND($C$450&gt;0,J$459&gt;=$C$450),$C$452,$C$454),IF($C$447="retrofit",Inputs!$C$47,IF($C$447="relet",Inputs!$C$53,0)))</f>
        <v>1.3</v>
      </c>
      <c r="K464" s="22" t="n">
        <f aca="false">IF(OR(K$459&lt;=Inputs!$C$9,$C$447="renew"),IF(AND($C$450&gt;0,K$459&gt;=$C$450),$C$452,$C$454),IF($C$447="retrofit",Inputs!$C$47,IF($C$447="relet",Inputs!$C$53,0)))</f>
        <v>1.3</v>
      </c>
      <c r="L464" s="22" t="n">
        <f aca="false">IF(OR(L$459&lt;=Inputs!$C$9,$C$447="renew"),IF(AND($C$450&gt;0,L$459&gt;=$C$450),$C$452,$C$454),IF($C$447="retrofit",Inputs!$C$47,IF($C$447="relet",Inputs!$C$53,0)))</f>
        <v>1.3</v>
      </c>
      <c r="M464" s="22" t="n">
        <f aca="false">IF(OR(M$459&lt;=Inputs!$C$9,$C$447="renew"),IF(AND($C$450&gt;0,M$459&gt;=$C$450),$C$452,$C$454),IF($C$447="retrofit",Inputs!$C$47,IF($C$447="relet",Inputs!$C$53,0)))</f>
        <v>1.3</v>
      </c>
      <c r="N464" s="22" t="n">
        <f aca="false">IF(OR(N$459&lt;=Inputs!$C$9,$C$447="renew"),IF(AND($C$450&gt;0,N$459&gt;=$C$450),$C$452,$C$454),IF($C$447="retrofit",Inputs!$C$47,IF($C$447="relet",Inputs!$C$53,0)))</f>
        <v>1.3</v>
      </c>
      <c r="O464" s="22" t="n">
        <f aca="false">IF(OR(O$459&lt;=Inputs!$C$9,$C$447="renew"),IF(AND($C$450&gt;0,O$459&gt;=$C$450),$C$452,$C$454),IF($C$447="retrofit",Inputs!$C$47,IF($C$447="relet",Inputs!$C$53,0)))</f>
        <v>1.3</v>
      </c>
    </row>
    <row r="465" customFormat="false" ht="15" hidden="false" customHeight="false" outlineLevel="0" collapsed="false">
      <c r="B465" s="9" t="s">
        <v>147</v>
      </c>
      <c r="E465" s="21" t="n">
        <f aca="false">IF(OR(E$459&lt;=Inputs!$C$9,$C$447="renew"),1,IF($C$447="retrofit",IF(E$459-Inputs!$C$9=1,0,1),IF($C$447="relet",CHOOSE(MIN(E$459-Inputs!$C$9,3),Inputs!$C$50,Inputs!$C$51,Inputs!$C$52),0)))</f>
        <v>1</v>
      </c>
      <c r="F465" s="21" t="n">
        <f aca="false">IF(OR(F$459&lt;=Inputs!$C$9,$C$447="renew"),1,IF($C$447="retrofit",IF(F$459-Inputs!$C$9=1,0,1),IF($C$447="relet",CHOOSE(MIN(F$459-Inputs!$C$9,3),Inputs!$C$50,Inputs!$C$51,Inputs!$C$52),0)))</f>
        <v>1</v>
      </c>
      <c r="G465" s="21" t="n">
        <f aca="false">IF(OR(G$459&lt;=Inputs!$C$9,$C$447="renew"),1,IF($C$447="retrofit",IF(G$459-Inputs!$C$9=1,0,1),IF($C$447="relet",CHOOSE(MIN(G$459-Inputs!$C$9,3),Inputs!$C$50,Inputs!$C$51,Inputs!$C$52),0)))</f>
        <v>1</v>
      </c>
      <c r="H465" s="21" t="n">
        <f aca="false">IF(OR(H$459&lt;=Inputs!$C$9,$C$447="renew"),1,IF($C$447="retrofit",IF(H$459-Inputs!$C$9=1,0,1),IF($C$447="relet",CHOOSE(MIN(H$459-Inputs!$C$9,3),Inputs!$C$50,Inputs!$C$51,Inputs!$C$52),0)))</f>
        <v>1</v>
      </c>
      <c r="I465" s="21" t="n">
        <f aca="false">IF(OR(I$459&lt;=Inputs!$C$9,$C$447="renew"),1,IF($C$447="retrofit",IF(I$459-Inputs!$C$9=1,0,1),IF($C$447="relet",CHOOSE(MIN(I$459-Inputs!$C$9,3),Inputs!$C$50,Inputs!$C$51,Inputs!$C$52),0)))</f>
        <v>1</v>
      </c>
      <c r="J465" s="21" t="n">
        <f aca="false">IF(OR(J$459&lt;=Inputs!$C$9,$C$447="renew"),1,IF($C$447="retrofit",IF(J$459-Inputs!$C$9=1,0,1),IF($C$447="relet",CHOOSE(MIN(J$459-Inputs!$C$9,3),Inputs!$C$50,Inputs!$C$51,Inputs!$C$52),0)))</f>
        <v>1</v>
      </c>
      <c r="K465" s="21" t="n">
        <f aca="false">IF(OR(K$459&lt;=Inputs!$C$9,$C$447="renew"),1,IF($C$447="retrofit",IF(K$459-Inputs!$C$9=1,0,1),IF($C$447="relet",CHOOSE(MIN(K$459-Inputs!$C$9,3),Inputs!$C$50,Inputs!$C$51,Inputs!$C$52),0)))</f>
        <v>1</v>
      </c>
      <c r="L465" s="21" t="n">
        <f aca="false">IF(OR(L$459&lt;=Inputs!$C$9,$C$447="renew"),1,IF($C$447="retrofit",IF(L$459-Inputs!$C$9=1,0,1),IF($C$447="relet",CHOOSE(MIN(L$459-Inputs!$C$9,3),Inputs!$C$50,Inputs!$C$51,Inputs!$C$52),0)))</f>
        <v>1</v>
      </c>
      <c r="M465" s="21" t="n">
        <f aca="false">IF(OR(M$459&lt;=Inputs!$C$9,$C$447="renew"),1,IF($C$447="retrofit",IF(M$459-Inputs!$C$9=1,0,1),IF($C$447="relet",CHOOSE(MIN(M$459-Inputs!$C$9,3),Inputs!$C$50,Inputs!$C$51,Inputs!$C$52),0)))</f>
        <v>1</v>
      </c>
      <c r="N465" s="21" t="n">
        <f aca="false">IF(OR(N$459&lt;=Inputs!$C$9,$C$447="renew"),1,IF($C$447="retrofit",IF(N$459-Inputs!$C$9=1,0,1),IF($C$447="relet",CHOOSE(MIN(N$459-Inputs!$C$9,3),Inputs!$C$50,Inputs!$C$51,Inputs!$C$52),0)))</f>
        <v>1</v>
      </c>
      <c r="O465" s="21" t="n">
        <f aca="false">IF(OR(O$459&lt;=Inputs!$C$9,$C$447="renew"),1,IF($C$447="retrofit",IF(O$459-Inputs!$C$9=1,0,1),IF($C$447="relet",CHOOSE(MIN(O$459-Inputs!$C$9,3),Inputs!$C$50,Inputs!$C$51,Inputs!$C$52),0)))</f>
        <v>1</v>
      </c>
    </row>
    <row r="466" customFormat="false" ht="15" hidden="false" customHeight="false" outlineLevel="0" collapsed="false">
      <c r="B466" s="9" t="s">
        <v>148</v>
      </c>
      <c r="E466" s="28" t="n">
        <f aca="false">Inputs!$C$6*1000*E463*E465*8760/1000</f>
        <v>224256</v>
      </c>
      <c r="F466" s="28" t="n">
        <f aca="false">Inputs!$C$6*1000*F463*F465*8760/1000</f>
        <v>224256</v>
      </c>
      <c r="G466" s="28" t="n">
        <f aca="false">Inputs!$C$6*1000*G463*G465*8760/1000</f>
        <v>224256</v>
      </c>
      <c r="H466" s="28" t="n">
        <f aca="false">Inputs!$C$6*1000*H463*H465*8760/1000</f>
        <v>224256</v>
      </c>
      <c r="I466" s="28" t="n">
        <f aca="false">Inputs!$C$6*1000*I463*I465*8760/1000</f>
        <v>224256</v>
      </c>
      <c r="J466" s="28" t="n">
        <f aca="false">Inputs!$C$6*1000*J463*J465*8760/1000</f>
        <v>224256</v>
      </c>
      <c r="K466" s="28" t="n">
        <f aca="false">Inputs!$C$6*1000*K463*K465*8760/1000</f>
        <v>224256</v>
      </c>
      <c r="L466" s="28" t="n">
        <f aca="false">Inputs!$C$6*1000*L463*L465*8760/1000</f>
        <v>224256</v>
      </c>
      <c r="M466" s="28" t="n">
        <f aca="false">Inputs!$C$6*1000*M463*M465*8760/1000</f>
        <v>224256</v>
      </c>
      <c r="N466" s="28" t="n">
        <f aca="false">Inputs!$C$6*1000*N463*N465*8760/1000</f>
        <v>224256</v>
      </c>
      <c r="O466" s="28" t="n">
        <f aca="false">Inputs!$C$6*1000*O463*O465*8760/1000</f>
        <v>224256</v>
      </c>
    </row>
    <row r="467" customFormat="false" ht="15" hidden="false" customHeight="false" outlineLevel="0" collapsed="false">
      <c r="B467" s="9" t="s">
        <v>149</v>
      </c>
      <c r="E467" s="24" t="n">
        <f aca="false">IF(E$459&lt;=Inputs!$C$9,Inputs!$C$6*1000*Inputs!$C$7*12*(1+Inputs!$C$8)^(E$459-1)/1000000,IF($C$447="renew",$C$458*$C$455*(1+Inputs!$C$8)^(E$459-Inputs!$C$9-1),IF($C$447="retrofit",IF(E$459-Inputs!$C$9=1,0,Inputs!$C$6*1000*Inputs!$C$46*12*(1+Inputs!$C$8)^(E$459-Inputs!$C$9-2)/1000000),IF($C$447="relet",Inputs!$C$6*1000*E465*$C$456*12*(1+Inputs!$C$8)^(E$459-Inputs!$C$9-2)/1000000,0))))</f>
        <v>52.992</v>
      </c>
      <c r="F467" s="24" t="n">
        <f aca="false">IF(F$459&lt;=Inputs!$C$9,Inputs!$C$6*1000*Inputs!$C$7*12*(1+Inputs!$C$8)^(F$459-1)/1000000,IF($C$447="renew",$C$458*$C$455*(1+Inputs!$C$8)^(F$459-Inputs!$C$9-1),IF($C$447="retrofit",IF(F$459-Inputs!$C$9=1,0,Inputs!$C$6*1000*Inputs!$C$46*12*(1+Inputs!$C$8)^(F$459-Inputs!$C$9-2)/1000000),IF($C$447="relet",Inputs!$C$6*1000*F465*$C$456*12*(1+Inputs!$C$8)^(F$459-Inputs!$C$9-2)/1000000,0))))</f>
        <v>54.05184</v>
      </c>
      <c r="G467" s="24" t="n">
        <f aca="false">IF(G$459&lt;=Inputs!$C$9,Inputs!$C$6*1000*Inputs!$C$7*12*(1+Inputs!$C$8)^(G$459-1)/1000000,IF($C$447="renew",$C$458*$C$455*(1+Inputs!$C$8)^(G$459-Inputs!$C$9-1),IF($C$447="retrofit",IF(G$459-Inputs!$C$9=1,0,Inputs!$C$6*1000*Inputs!$C$46*12*(1+Inputs!$C$8)^(G$459-Inputs!$C$9-2)/1000000),IF($C$447="relet",Inputs!$C$6*1000*G465*$C$456*12*(1+Inputs!$C$8)^(G$459-Inputs!$C$9-2)/1000000,0))))</f>
        <v>55.1328768</v>
      </c>
      <c r="H467" s="24" t="n">
        <f aca="false">IF(H$459&lt;=Inputs!$C$9,Inputs!$C$6*1000*Inputs!$C$7*12*(1+Inputs!$C$8)^(H$459-1)/1000000,IF($C$447="renew",$C$458*$C$455*(1+Inputs!$C$8)^(H$459-Inputs!$C$9-1),IF($C$447="retrofit",IF(H$459-Inputs!$C$9=1,0,Inputs!$C$6*1000*Inputs!$C$46*12*(1+Inputs!$C$8)^(H$459-Inputs!$C$9-2)/1000000),IF($C$447="relet",Inputs!$C$6*1000*H465*$C$456*12*(1+Inputs!$C$8)^(H$459-Inputs!$C$9-2)/1000000,0))))</f>
        <v>56.235534336</v>
      </c>
      <c r="I467" s="24" t="n">
        <f aca="false">IF(I$459&lt;=Inputs!$C$9,Inputs!$C$6*1000*Inputs!$C$7*12*(1+Inputs!$C$8)^(I$459-1)/1000000,IF($C$447="renew",$C$458*$C$455*(1+Inputs!$C$8)^(I$459-Inputs!$C$9-1),IF($C$447="retrofit",IF(I$459-Inputs!$C$9=1,0,Inputs!$C$6*1000*Inputs!$C$46*12*(1+Inputs!$C$8)^(I$459-Inputs!$C$9-2)/1000000),IF($C$447="relet",Inputs!$C$6*1000*I465*$C$456*12*(1+Inputs!$C$8)^(I$459-Inputs!$C$9-2)/1000000,0))))</f>
        <v>57.36024502272</v>
      </c>
      <c r="J467" s="24" t="n">
        <f aca="false">IF(J$459&lt;=Inputs!$C$9,Inputs!$C$6*1000*Inputs!$C$7*12*(1+Inputs!$C$8)^(J$459-1)/1000000,IF($C$447="renew",$C$458*$C$455*(1+Inputs!$C$8)^(J$459-Inputs!$C$9-1),IF($C$447="retrofit",IF(J$459-Inputs!$C$9=1,0,Inputs!$C$6*1000*Inputs!$C$46*12*(1+Inputs!$C$8)^(J$459-Inputs!$C$9-2)/1000000),IF($C$447="relet",Inputs!$C$6*1000*J465*$C$456*12*(1+Inputs!$C$8)^(J$459-Inputs!$C$9-2)/1000000,0))))</f>
        <v>58.5074499231744</v>
      </c>
      <c r="K467" s="24" t="n">
        <f aca="false">IF(K$459&lt;=Inputs!$C$9,Inputs!$C$6*1000*Inputs!$C$7*12*(1+Inputs!$C$8)^(K$459-1)/1000000,IF($C$447="renew",$C$458*$C$455*(1+Inputs!$C$8)^(K$459-Inputs!$C$9-1),IF($C$447="retrofit",IF(K$459-Inputs!$C$9=1,0,Inputs!$C$6*1000*Inputs!$C$46*12*(1+Inputs!$C$8)^(K$459-Inputs!$C$9-2)/1000000),IF($C$447="relet",Inputs!$C$6*1000*K465*$C$456*12*(1+Inputs!$C$8)^(K$459-Inputs!$C$9-2)/1000000,0))))</f>
        <v>59.6775989216379</v>
      </c>
      <c r="L467" s="24" t="n">
        <f aca="false">IF(L$459&lt;=Inputs!$C$9,Inputs!$C$6*1000*Inputs!$C$7*12*(1+Inputs!$C$8)^(L$459-1)/1000000,IF($C$447="renew",$C$458*$C$455*(1+Inputs!$C$8)^(L$459-Inputs!$C$9-1),IF($C$447="retrofit",IF(L$459-Inputs!$C$9=1,0,Inputs!$C$6*1000*Inputs!$C$46*12*(1+Inputs!$C$8)^(L$459-Inputs!$C$9-2)/1000000),IF($C$447="relet",Inputs!$C$6*1000*L465*$C$456*12*(1+Inputs!$C$8)^(L$459-Inputs!$C$9-2)/1000000,0))))</f>
        <v>60.8711509000706</v>
      </c>
      <c r="M467" s="24" t="n">
        <f aca="false">IF(M$459&lt;=Inputs!$C$9,Inputs!$C$6*1000*Inputs!$C$7*12*(1+Inputs!$C$8)^(M$459-1)/1000000,IF($C$447="renew",$C$458*$C$455*(1+Inputs!$C$8)^(M$459-Inputs!$C$9-1),IF($C$447="retrofit",IF(M$459-Inputs!$C$9=1,0,Inputs!$C$6*1000*Inputs!$C$46*12*(1+Inputs!$C$8)^(M$459-Inputs!$C$9-2)/1000000),IF($C$447="relet",Inputs!$C$6*1000*M465*$C$456*12*(1+Inputs!$C$8)^(M$459-Inputs!$C$9-2)/1000000,0))))</f>
        <v>54.7840358100636</v>
      </c>
      <c r="N467" s="24" t="n">
        <f aca="false">IF(N$459&lt;=Inputs!$C$9,Inputs!$C$6*1000*Inputs!$C$7*12*(1+Inputs!$C$8)^(N$459-1)/1000000,IF($C$447="renew",$C$458*$C$455*(1+Inputs!$C$8)^(N$459-Inputs!$C$9-1),IF($C$447="retrofit",IF(N$459-Inputs!$C$9=1,0,Inputs!$C$6*1000*Inputs!$C$46*12*(1+Inputs!$C$8)^(N$459-Inputs!$C$9-2)/1000000),IF($C$447="relet",Inputs!$C$6*1000*N465*$C$456*12*(1+Inputs!$C$8)^(N$459-Inputs!$C$9-2)/1000000,0))))</f>
        <v>55.8797165262649</v>
      </c>
      <c r="O467" s="24" t="n">
        <f aca="false">IF(O$459&lt;=Inputs!$C$9,Inputs!$C$6*1000*Inputs!$C$7*12*(1+Inputs!$C$8)^(O$459-1)/1000000,IF($C$447="renew",$C$458*$C$455*(1+Inputs!$C$8)^(O$459-Inputs!$C$9-1),IF($C$447="retrofit",IF(O$459-Inputs!$C$9=1,0,Inputs!$C$6*1000*Inputs!$C$46*12*(1+Inputs!$C$8)^(O$459-Inputs!$C$9-2)/1000000),IF($C$447="relet",Inputs!$C$6*1000*O465*$C$456*12*(1+Inputs!$C$8)^(O$459-Inputs!$C$9-2)/1000000,0))))</f>
        <v>56.9973108567902</v>
      </c>
    </row>
    <row r="468" customFormat="false" ht="15" hidden="false" customHeight="false" outlineLevel="0" collapsed="false">
      <c r="B468" s="9" t="s">
        <v>150</v>
      </c>
      <c r="E468" s="24" t="n">
        <f aca="false">IF(OR(E$459&lt;=Inputs!$C$9,$C$447="renew"),E466*(Inputs!$C$17*E461-E464*E460)/1000000,E466*E464*Inputs!$C$27/1000000)</f>
        <v>3.7899264</v>
      </c>
      <c r="F468" s="24" t="n">
        <f aca="false">IF(OR(F$459&lt;=Inputs!$C$9,$C$447="renew"),F466*(Inputs!$C$17*F461-F464*F460)/1000000,F466*F464*Inputs!$C$27/1000000)</f>
        <v>4.221394944</v>
      </c>
      <c r="G468" s="24" t="n">
        <f aca="false">IF(OR(G$459&lt;=Inputs!$C$9,$C$447="renew"),G466*(Inputs!$C$17*G461-G464*G460)/1000000,G466*G464*Inputs!$C$27/1000000)</f>
        <v>4.66149285888</v>
      </c>
      <c r="H468" s="24" t="n">
        <f aca="false">IF(OR(H$459&lt;=Inputs!$C$9,$C$447="renew"),H466*(Inputs!$C$17*H461-H464*H460)/1000000,H466*H464*Inputs!$C$27/1000000)</f>
        <v>5.11039273205761</v>
      </c>
      <c r="I468" s="24" t="n">
        <f aca="false">IF(OR(I$459&lt;=Inputs!$C$9,$C$447="renew"),I466*(Inputs!$C$17*I461-I464*I460)/1000000,I466*I464*Inputs!$C$27/1000000)</f>
        <v>-3.99400523730125</v>
      </c>
      <c r="J468" s="24" t="n">
        <f aca="false">IF(OR(J$459&lt;=Inputs!$C$9,$C$447="renew"),J466*(Inputs!$C$17*J461-J464*J460)/1000000,J466*J464*Inputs!$C$27/1000000)</f>
        <v>-4.21061422524727</v>
      </c>
      <c r="K468" s="24" t="n">
        <f aca="false">IF(OR(K$459&lt;=Inputs!$C$9,$C$447="renew"),K466*(Inputs!$C$17*K461-K464*K460)/1000000,K466*K464*Inputs!$C$27/1000000)</f>
        <v>-4.43497361503221</v>
      </c>
      <c r="L468" s="24" t="n">
        <f aca="false">IF(OR(L$459&lt;=Inputs!$C$9,$C$447="renew"),L466*(Inputs!$C$17*L461-L464*L460)/1000000,L466*L464*Inputs!$C$27/1000000)</f>
        <v>-4.66732387024485</v>
      </c>
      <c r="M468" s="24" t="n">
        <f aca="false">IF(OR(M$459&lt;=Inputs!$C$9,$C$447="renew"),M466*(Inputs!$C$17*M461-M464*M460)/1000000,M466*M464*Inputs!$C$27/1000000)</f>
        <v>-4.90791240013455</v>
      </c>
      <c r="N468" s="24" t="n">
        <f aca="false">IF(OR(N$459&lt;=Inputs!$C$9,$C$447="renew"),N466*(Inputs!$C$17*N461-N464*N460)/1000000,N466*N464*Inputs!$C$27/1000000)</f>
        <v>-5.15699375193415</v>
      </c>
      <c r="O468" s="24" t="n">
        <f aca="false">IF(OR(O$459&lt;=Inputs!$C$9,$C$447="renew"),O466*(Inputs!$C$17*O461-O464*O460)/1000000,O466*O464*Inputs!$C$27/1000000)</f>
        <v>-5.41482980836468</v>
      </c>
    </row>
    <row r="469" customFormat="false" ht="15" hidden="false" customHeight="false" outlineLevel="0" collapsed="false">
      <c r="B469" s="9" t="s">
        <v>151</v>
      </c>
      <c r="E469" s="24" t="n">
        <f aca="false">Inputs!$C$10*E462*IF(OR(E$459&lt;=Inputs!$C$9,$C$447="renew"),1,IF($C$447="retrofit",IF(E$459-Inputs!$C$9=1,Inputs!$C$48,1),IF($C$447="relet",Inputs!$C$54,Inputs!$C$56)))</f>
        <v>4.1</v>
      </c>
      <c r="F469" s="24" t="n">
        <f aca="false">Inputs!$C$10*F462*IF(OR(F$459&lt;=Inputs!$C$9,$C$447="renew"),1,IF($C$447="retrofit",IF(F$459-Inputs!$C$9=1,Inputs!$C$48,1),IF($C$447="relet",Inputs!$C$54,Inputs!$C$56)))</f>
        <v>4.223</v>
      </c>
      <c r="G469" s="24" t="n">
        <f aca="false">Inputs!$C$10*G462*IF(OR(G$459&lt;=Inputs!$C$9,$C$447="renew"),1,IF($C$447="retrofit",IF(G$459-Inputs!$C$9=1,Inputs!$C$48,1),IF($C$447="relet",Inputs!$C$54,Inputs!$C$56)))</f>
        <v>4.34969</v>
      </c>
      <c r="H469" s="24" t="n">
        <f aca="false">Inputs!$C$10*H462*IF(OR(H$459&lt;=Inputs!$C$9,$C$447="renew"),1,IF($C$447="retrofit",IF(H$459-Inputs!$C$9=1,Inputs!$C$48,1),IF($C$447="relet",Inputs!$C$54,Inputs!$C$56)))</f>
        <v>4.4801807</v>
      </c>
      <c r="I469" s="24" t="n">
        <f aca="false">Inputs!$C$10*I462*IF(OR(I$459&lt;=Inputs!$C$9,$C$447="renew"),1,IF($C$447="retrofit",IF(I$459-Inputs!$C$9=1,Inputs!$C$48,1),IF($C$447="relet",Inputs!$C$54,Inputs!$C$56)))</f>
        <v>4.614586121</v>
      </c>
      <c r="J469" s="24" t="n">
        <f aca="false">Inputs!$C$10*J462*IF(OR(J$459&lt;=Inputs!$C$9,$C$447="renew"),1,IF($C$447="retrofit",IF(J$459-Inputs!$C$9=1,Inputs!$C$48,1),IF($C$447="relet",Inputs!$C$54,Inputs!$C$56)))</f>
        <v>4.75302370463</v>
      </c>
      <c r="K469" s="24" t="n">
        <f aca="false">Inputs!$C$10*K462*IF(OR(K$459&lt;=Inputs!$C$9,$C$447="renew"),1,IF($C$447="retrofit",IF(K$459-Inputs!$C$9=1,Inputs!$C$48,1),IF($C$447="relet",Inputs!$C$54,Inputs!$C$56)))</f>
        <v>4.8956144157689</v>
      </c>
      <c r="L469" s="24" t="n">
        <f aca="false">Inputs!$C$10*L462*IF(OR(L$459&lt;=Inputs!$C$9,$C$447="renew"),1,IF($C$447="retrofit",IF(L$459-Inputs!$C$9=1,Inputs!$C$48,1),IF($C$447="relet",Inputs!$C$54,Inputs!$C$56)))</f>
        <v>5.04248284824197</v>
      </c>
      <c r="M469" s="24" t="n">
        <f aca="false">Inputs!$C$10*M462*IF(OR(M$459&lt;=Inputs!$C$9,$C$447="renew"),1,IF($C$447="retrofit",IF(M$459-Inputs!$C$9=1,Inputs!$C$48,1),IF($C$447="relet",Inputs!$C$54,Inputs!$C$56)))</f>
        <v>5.19375733368923</v>
      </c>
      <c r="N469" s="24" t="n">
        <f aca="false">Inputs!$C$10*N462*IF(OR(N$459&lt;=Inputs!$C$9,$C$447="renew"),1,IF($C$447="retrofit",IF(N$459-Inputs!$C$9=1,Inputs!$C$48,1),IF($C$447="relet",Inputs!$C$54,Inputs!$C$56)))</f>
        <v>5.3495700536999</v>
      </c>
      <c r="O469" s="24" t="n">
        <f aca="false">Inputs!$C$10*O462*IF(OR(O$459&lt;=Inputs!$C$9,$C$447="renew"),1,IF($C$447="retrofit",IF(O$459-Inputs!$C$9=1,Inputs!$C$48,1),IF($C$447="relet",Inputs!$C$54,Inputs!$C$56)))</f>
        <v>5.5100571553109</v>
      </c>
    </row>
    <row r="470" customFormat="false" ht="15" hidden="false" customHeight="false" outlineLevel="0" collapsed="false">
      <c r="B470" s="9" t="s">
        <v>152</v>
      </c>
      <c r="E470" s="24" t="n">
        <f aca="false">IF(E$459&gt;=$C$449,Inputs!$C$30*1000*Inputs!$C$34*12*(1+Inputs!$C$8)^(E$459-$C$449)/1000000*IF(AND(E$459=$C$449,$C$449&gt;Inputs!$C$33),1-MIN(12,Inputs!$C$35*($C$449-Inputs!$C$33)*12)/12,1),0)</f>
        <v>0</v>
      </c>
      <c r="F470" s="24" t="n">
        <f aca="false">IF(F$459&gt;=$C$449,Inputs!$C$30*1000*Inputs!$C$34*12*(1+Inputs!$C$8)^(F$459-$C$449)/1000000*IF(AND(F$459=$C$449,$C$449&gt;Inputs!$C$33),1-MIN(12,Inputs!$C$35*($C$449-Inputs!$C$33)*12)/12,1),0)</f>
        <v>0</v>
      </c>
      <c r="G470" s="24" t="n">
        <f aca="false">IF(G$459&gt;=$C$449,Inputs!$C$30*1000*Inputs!$C$34*12*(1+Inputs!$C$8)^(G$459-$C$449)/1000000*IF(AND(G$459=$C$449,$C$449&gt;Inputs!$C$33),1-MIN(12,Inputs!$C$35*($C$449-Inputs!$C$33)*12)/12,1),0)</f>
        <v>29.184</v>
      </c>
      <c r="H470" s="24" t="n">
        <f aca="false">IF(H$459&gt;=$C$449,Inputs!$C$30*1000*Inputs!$C$34*12*(1+Inputs!$C$8)^(H$459-$C$449)/1000000*IF(AND(H$459=$C$449,$C$449&gt;Inputs!$C$33),1-MIN(12,Inputs!$C$35*($C$449-Inputs!$C$33)*12)/12,1),0)</f>
        <v>29.76768</v>
      </c>
      <c r="I470" s="24" t="n">
        <f aca="false">IF(I$459&gt;=$C$449,Inputs!$C$30*1000*Inputs!$C$34*12*(1+Inputs!$C$8)^(I$459-$C$449)/1000000*IF(AND(I$459=$C$449,$C$449&gt;Inputs!$C$33),1-MIN(12,Inputs!$C$35*($C$449-Inputs!$C$33)*12)/12,1),0)</f>
        <v>30.3630336</v>
      </c>
      <c r="J470" s="24" t="n">
        <f aca="false">IF(J$459&gt;=$C$449,Inputs!$C$30*1000*Inputs!$C$34*12*(1+Inputs!$C$8)^(J$459-$C$449)/1000000*IF(AND(J$459=$C$449,$C$449&gt;Inputs!$C$33),1-MIN(12,Inputs!$C$35*($C$449-Inputs!$C$33)*12)/12,1),0)</f>
        <v>30.970294272</v>
      </c>
      <c r="K470" s="24" t="n">
        <f aca="false">IF(K$459&gt;=$C$449,Inputs!$C$30*1000*Inputs!$C$34*12*(1+Inputs!$C$8)^(K$459-$C$449)/1000000*IF(AND(K$459=$C$449,$C$449&gt;Inputs!$C$33),1-MIN(12,Inputs!$C$35*($C$449-Inputs!$C$33)*12)/12,1),0)</f>
        <v>31.58970015744</v>
      </c>
      <c r="L470" s="24" t="n">
        <f aca="false">IF(L$459&gt;=$C$449,Inputs!$C$30*1000*Inputs!$C$34*12*(1+Inputs!$C$8)^(L$459-$C$449)/1000000*IF(AND(L$459=$C$449,$C$449&gt;Inputs!$C$33),1-MIN(12,Inputs!$C$35*($C$449-Inputs!$C$33)*12)/12,1),0)</f>
        <v>32.2214941605888</v>
      </c>
      <c r="M470" s="24" t="n">
        <f aca="false">IF(M$459&gt;=$C$449,Inputs!$C$30*1000*Inputs!$C$34*12*(1+Inputs!$C$8)^(M$459-$C$449)/1000000*IF(AND(M$459=$C$449,$C$449&gt;Inputs!$C$33),1-MIN(12,Inputs!$C$35*($C$449-Inputs!$C$33)*12)/12,1),0)</f>
        <v>32.8659240438006</v>
      </c>
      <c r="N470" s="24" t="n">
        <f aca="false">IF(N$459&gt;=$C$449,Inputs!$C$30*1000*Inputs!$C$34*12*(1+Inputs!$C$8)^(N$459-$C$449)/1000000*IF(AND(N$459=$C$449,$C$449&gt;Inputs!$C$33),1-MIN(12,Inputs!$C$35*($C$449-Inputs!$C$33)*12)/12,1),0)</f>
        <v>33.5232425246766</v>
      </c>
      <c r="O470" s="24" t="n">
        <f aca="false">IF(O$459&gt;=$C$449,Inputs!$C$30*1000*Inputs!$C$34*12*(1+Inputs!$C$8)^(O$459-$C$449)/1000000*IF(AND(O$459=$C$449,$C$449&gt;Inputs!$C$33),1-MIN(12,Inputs!$C$35*($C$449-Inputs!$C$33)*12)/12,1),0)</f>
        <v>34.1937073751701</v>
      </c>
    </row>
    <row r="471" customFormat="false" ht="15" hidden="false" customHeight="false" outlineLevel="0" collapsed="false">
      <c r="B471" s="9" t="s">
        <v>153</v>
      </c>
      <c r="E471" s="28" t="n">
        <f aca="false">IF(E$459&gt;=$C$449,Inputs!$C$30*1000*Inputs!$C$16*8760/1000,0)</f>
        <v>0</v>
      </c>
      <c r="F471" s="28" t="n">
        <f aca="false">IF(F$459&gt;=$C$449,Inputs!$C$30*1000*Inputs!$C$16*8760/1000,0)</f>
        <v>0</v>
      </c>
      <c r="G471" s="28" t="n">
        <f aca="false">IF(G$459&gt;=$C$449,Inputs!$C$30*1000*Inputs!$C$16*8760/1000,0)</f>
        <v>112128</v>
      </c>
      <c r="H471" s="28" t="n">
        <f aca="false">IF(H$459&gt;=$C$449,Inputs!$C$30*1000*Inputs!$C$16*8760/1000,0)</f>
        <v>112128</v>
      </c>
      <c r="I471" s="28" t="n">
        <f aca="false">IF(I$459&gt;=$C$449,Inputs!$C$30*1000*Inputs!$C$16*8760/1000,0)</f>
        <v>112128</v>
      </c>
      <c r="J471" s="28" t="n">
        <f aca="false">IF(J$459&gt;=$C$449,Inputs!$C$30*1000*Inputs!$C$16*8760/1000,0)</f>
        <v>112128</v>
      </c>
      <c r="K471" s="28" t="n">
        <f aca="false">IF(K$459&gt;=$C$449,Inputs!$C$30*1000*Inputs!$C$16*8760/1000,0)</f>
        <v>112128</v>
      </c>
      <c r="L471" s="28" t="n">
        <f aca="false">IF(L$459&gt;=$C$449,Inputs!$C$30*1000*Inputs!$C$16*8760/1000,0)</f>
        <v>112128</v>
      </c>
      <c r="M471" s="28" t="n">
        <f aca="false">IF(M$459&gt;=$C$449,Inputs!$C$30*1000*Inputs!$C$16*8760/1000,0)</f>
        <v>112128</v>
      </c>
      <c r="N471" s="28" t="n">
        <f aca="false">IF(N$459&gt;=$C$449,Inputs!$C$30*1000*Inputs!$C$16*8760/1000,0)</f>
        <v>112128</v>
      </c>
      <c r="O471" s="28" t="n">
        <f aca="false">IF(O$459&gt;=$C$449,Inputs!$C$30*1000*Inputs!$C$16*8760/1000,0)</f>
        <v>112128</v>
      </c>
    </row>
    <row r="472" customFormat="false" ht="15" hidden="false" customHeight="false" outlineLevel="0" collapsed="false">
      <c r="B472" s="9" t="s">
        <v>154</v>
      </c>
      <c r="E472" s="24" t="n">
        <f aca="false">E471*Inputs!$C$37*Inputs!$C$27/1000000</f>
        <v>0</v>
      </c>
      <c r="F472" s="24" t="n">
        <f aca="false">F471*Inputs!$C$37*Inputs!$C$27/1000000</f>
        <v>0</v>
      </c>
      <c r="G472" s="24" t="n">
        <f aca="false">G471*Inputs!$C$37*Inputs!$C$27/1000000</f>
        <v>0.4036608</v>
      </c>
      <c r="H472" s="24" t="n">
        <f aca="false">H471*Inputs!$C$37*Inputs!$C$27/1000000</f>
        <v>0.4036608</v>
      </c>
      <c r="I472" s="24" t="n">
        <f aca="false">I471*Inputs!$C$37*Inputs!$C$27/1000000</f>
        <v>0.4036608</v>
      </c>
      <c r="J472" s="24" t="n">
        <f aca="false">J471*Inputs!$C$37*Inputs!$C$27/1000000</f>
        <v>0.4036608</v>
      </c>
      <c r="K472" s="24" t="n">
        <f aca="false">K471*Inputs!$C$37*Inputs!$C$27/1000000</f>
        <v>0.4036608</v>
      </c>
      <c r="L472" s="24" t="n">
        <f aca="false">L471*Inputs!$C$37*Inputs!$C$27/1000000</f>
        <v>0.4036608</v>
      </c>
      <c r="M472" s="24" t="n">
        <f aca="false">M471*Inputs!$C$37*Inputs!$C$27/1000000</f>
        <v>0.4036608</v>
      </c>
      <c r="N472" s="24" t="n">
        <f aca="false">N471*Inputs!$C$37*Inputs!$C$27/1000000</f>
        <v>0.4036608</v>
      </c>
      <c r="O472" s="24" t="n">
        <f aca="false">O471*Inputs!$C$37*Inputs!$C$27/1000000</f>
        <v>0.4036608</v>
      </c>
    </row>
    <row r="473" customFormat="false" ht="15" hidden="false" customHeight="false" outlineLevel="0" collapsed="false">
      <c r="B473" s="9" t="s">
        <v>155</v>
      </c>
      <c r="E473" s="24" t="n">
        <f aca="false">IF(E$459&gt;=$C$449,Inputs!$C$38*E462,0)</f>
        <v>0</v>
      </c>
      <c r="F473" s="24" t="n">
        <f aca="false">IF(F$459&gt;=$C$449,Inputs!$C$38*F462,0)</f>
        <v>0</v>
      </c>
      <c r="G473" s="24" t="n">
        <f aca="false">IF(G$459&gt;=$C$449,Inputs!$C$38*G462,0)</f>
        <v>1.69744</v>
      </c>
      <c r="H473" s="24" t="n">
        <f aca="false">IF(H$459&gt;=$C$449,Inputs!$C$38*H462,0)</f>
        <v>1.7483632</v>
      </c>
      <c r="I473" s="24" t="n">
        <f aca="false">IF(I$459&gt;=$C$449,Inputs!$C$38*I462,0)</f>
        <v>1.800814096</v>
      </c>
      <c r="J473" s="24" t="n">
        <f aca="false">IF(J$459&gt;=$C$449,Inputs!$C$38*J462,0)</f>
        <v>1.85483851888</v>
      </c>
      <c r="K473" s="24" t="n">
        <f aca="false">IF(K$459&gt;=$C$449,Inputs!$C$38*K462,0)</f>
        <v>1.9104836744464</v>
      </c>
      <c r="L473" s="24" t="n">
        <f aca="false">IF(L$459&gt;=$C$449,Inputs!$C$38*L462,0)</f>
        <v>1.96779818467979</v>
      </c>
      <c r="M473" s="24" t="n">
        <f aca="false">IF(M$459&gt;=$C$449,Inputs!$C$38*M462,0)</f>
        <v>2.02683213022019</v>
      </c>
      <c r="N473" s="24" t="n">
        <f aca="false">IF(N$459&gt;=$C$449,Inputs!$C$38*N462,0)</f>
        <v>2.08763709412679</v>
      </c>
      <c r="O473" s="24" t="n">
        <f aca="false">IF(O$459&gt;=$C$449,Inputs!$C$38*O462,0)</f>
        <v>2.1502662069506</v>
      </c>
    </row>
    <row r="474" customFormat="false" ht="15" hidden="false" customHeight="false" outlineLevel="0" collapsed="false">
      <c r="B474" s="9" t="s">
        <v>156</v>
      </c>
      <c r="E474" s="24" t="n">
        <f aca="false">Inputs!$C$12*(E467+E470)</f>
        <v>0.52992</v>
      </c>
      <c r="F474" s="24" t="n">
        <f aca="false">Inputs!$C$12*(F467+F470)</f>
        <v>0.5405184</v>
      </c>
      <c r="G474" s="24" t="n">
        <f aca="false">Inputs!$C$12*(G467+G470)</f>
        <v>0.843168768</v>
      </c>
      <c r="H474" s="24" t="n">
        <f aca="false">Inputs!$C$12*(H467+H470)</f>
        <v>0.86003214336</v>
      </c>
      <c r="I474" s="24" t="n">
        <f aca="false">Inputs!$C$12*(I467+I470)</f>
        <v>0.8772327862272</v>
      </c>
      <c r="J474" s="24" t="n">
        <f aca="false">Inputs!$C$12*(J467+J470)</f>
        <v>0.894777441951744</v>
      </c>
      <c r="K474" s="24" t="n">
        <f aca="false">Inputs!$C$12*(K467+K470)</f>
        <v>0.912672990790779</v>
      </c>
      <c r="L474" s="24" t="n">
        <f aca="false">Inputs!$C$12*(L467+L470)</f>
        <v>0.930926450606595</v>
      </c>
      <c r="M474" s="24" t="n">
        <f aca="false">Inputs!$C$12*(M467+M470)</f>
        <v>0.876499598538642</v>
      </c>
      <c r="N474" s="24" t="n">
        <f aca="false">Inputs!$C$12*(N467+N470)</f>
        <v>0.894029590509414</v>
      </c>
      <c r="O474" s="24" t="n">
        <f aca="false">Inputs!$C$12*(O467+O470)</f>
        <v>0.911910182319603</v>
      </c>
    </row>
    <row r="475" customFormat="false" ht="15" hidden="false" customHeight="false" outlineLevel="0" collapsed="false">
      <c r="B475" s="29" t="s">
        <v>157</v>
      </c>
      <c r="E475" s="30" t="n">
        <f aca="false">E467+E468+E470+E472-E469-E473-E474</f>
        <v>52.1520064</v>
      </c>
      <c r="F475" s="30" t="n">
        <f aca="false">F467+F468+F470+F472-F469-F473-F474</f>
        <v>53.509716544</v>
      </c>
      <c r="G475" s="30" t="n">
        <f aca="false">G467+G468+G470+G472-G469-G473-G474</f>
        <v>82.49173169088</v>
      </c>
      <c r="H475" s="30" t="n">
        <f aca="false">H467+H468+H470+H472-H469-H473-H474</f>
        <v>84.4286918246976</v>
      </c>
      <c r="I475" s="30" t="n">
        <f aca="false">I467+I468+I470+I472-I469-I473-I474</f>
        <v>76.8403011821916</v>
      </c>
      <c r="J475" s="30" t="n">
        <f aca="false">J467+J468+J470+J472-J469-J473-J474</f>
        <v>78.1681511044654</v>
      </c>
      <c r="K475" s="30" t="n">
        <f aca="false">K467+K468+K470+K472-K469-K473-K474</f>
        <v>79.5172151830396</v>
      </c>
      <c r="L475" s="30" t="n">
        <f aca="false">L467+L468+L470+L472-L469-L473-L474</f>
        <v>80.8877745068863</v>
      </c>
      <c r="M475" s="30" t="n">
        <f aca="false">M467+M468+M470+M472-M469-M473-M474</f>
        <v>75.0486191912816</v>
      </c>
      <c r="N475" s="30" t="n">
        <f aca="false">N467+N468+N470+N472-N469-N473-N474</f>
        <v>76.3183893606712</v>
      </c>
      <c r="O475" s="30" t="n">
        <f aca="false">O467+O468+O470+O472-O469-O473-O474</f>
        <v>77.6076156790145</v>
      </c>
    </row>
    <row r="476" customFormat="false" ht="15" hidden="false" customHeight="false" outlineLevel="0" collapsed="false">
      <c r="B476" s="9" t="s">
        <v>158</v>
      </c>
      <c r="E476" s="24" t="n">
        <f aca="false">Inputs!$C$13*E462*IF(AND($C$447="stranded",E$459&gt;Inputs!$C$9),Inputs!$C$56,1)+IF(E$459&gt;=$C$449,Inputs!$C$39*E462,0)</f>
        <v>1.3</v>
      </c>
      <c r="F476" s="24" t="n">
        <f aca="false">Inputs!$C$13*F462*IF(AND($C$447="stranded",F$459&gt;Inputs!$C$9),Inputs!$C$56,1)+IF(F$459&gt;=$C$449,Inputs!$C$39*F462,0)</f>
        <v>1.339</v>
      </c>
      <c r="G476" s="24" t="n">
        <f aca="false">Inputs!$C$13*G462*IF(AND($C$447="stranded",G$459&gt;Inputs!$C$9),Inputs!$C$56,1)+IF(G$459&gt;=$C$449,Inputs!$C$39*G462,0)</f>
        <v>1.90962</v>
      </c>
      <c r="H476" s="24" t="n">
        <f aca="false">Inputs!$C$13*H462*IF(AND($C$447="stranded",H$459&gt;Inputs!$C$9),Inputs!$C$56,1)+IF(H$459&gt;=$C$449,Inputs!$C$39*H462,0)</f>
        <v>1.9669086</v>
      </c>
      <c r="I476" s="24" t="n">
        <f aca="false">Inputs!$C$13*I462*IF(AND($C$447="stranded",I$459&gt;Inputs!$C$9),Inputs!$C$56,1)+IF(I$459&gt;=$C$449,Inputs!$C$39*I462,0)</f>
        <v>2.025915858</v>
      </c>
      <c r="J476" s="24" t="n">
        <f aca="false">Inputs!$C$13*J462*IF(AND($C$447="stranded",J$459&gt;Inputs!$C$9),Inputs!$C$56,1)+IF(J$459&gt;=$C$449,Inputs!$C$39*J462,0)</f>
        <v>2.08669333374</v>
      </c>
      <c r="K476" s="24" t="n">
        <f aca="false">Inputs!$C$13*K462*IF(AND($C$447="stranded",K$459&gt;Inputs!$C$9),Inputs!$C$56,1)+IF(K$459&gt;=$C$449,Inputs!$C$39*K462,0)</f>
        <v>2.1492941337522</v>
      </c>
      <c r="L476" s="24" t="n">
        <f aca="false">Inputs!$C$13*L462*IF(AND($C$447="stranded",L$459&gt;Inputs!$C$9),Inputs!$C$56,1)+IF(L$459&gt;=$C$449,Inputs!$C$39*L462,0)</f>
        <v>2.21377295776477</v>
      </c>
      <c r="M476" s="24" t="n">
        <f aca="false">Inputs!$C$13*M462*IF(AND($C$447="stranded",M$459&gt;Inputs!$C$9),Inputs!$C$56,1)+IF(M$459&gt;=$C$449,Inputs!$C$39*M462,0)</f>
        <v>2.28018614649771</v>
      </c>
      <c r="N476" s="24" t="n">
        <f aca="false">Inputs!$C$13*N462*IF(AND($C$447="stranded",N$459&gt;Inputs!$C$9),Inputs!$C$56,1)+IF(N$459&gt;=$C$449,Inputs!$C$39*N462,0)</f>
        <v>2.34859173089264</v>
      </c>
      <c r="O476" s="24" t="n">
        <f aca="false">Inputs!$C$13*O462*IF(AND($C$447="stranded",O$459&gt;Inputs!$C$9),Inputs!$C$56,1)+IF(O$459&gt;=$C$449,Inputs!$C$39*O462,0)</f>
        <v>2.41904948281942</v>
      </c>
    </row>
    <row r="477" customFormat="false" ht="15" hidden="false" customHeight="false" outlineLevel="0" collapsed="false">
      <c r="B477" s="9" t="s">
        <v>159</v>
      </c>
      <c r="E477" s="24" t="n">
        <f aca="false">IF(OR(E$459=1,E$459=2),Inputs!$C$31*Inputs!$C$30/2,0)+IF(AND(E$459=2,$C$449&gt;Inputs!$C$33),Inputs!$C$31*Inputs!$C$30*Inputs!$C$36*($C$449-Inputs!$C$33),0)</f>
        <v>84</v>
      </c>
      <c r="F477" s="24" t="n">
        <f aca="false">IF(OR(F$459=1,F$459=2),Inputs!$C$31*Inputs!$C$30/2,0)+IF(AND(F$459=2,$C$449&gt;Inputs!$C$33),Inputs!$C$31*Inputs!$C$30*Inputs!$C$36*($C$449-Inputs!$C$33),0)</f>
        <v>84</v>
      </c>
      <c r="G477" s="24" t="n">
        <f aca="false">IF(OR(G$459=1,G$459=2),Inputs!$C$31*Inputs!$C$30/2,0)+IF(AND(G$459=2,$C$449&gt;Inputs!$C$33),Inputs!$C$31*Inputs!$C$30*Inputs!$C$36*($C$449-Inputs!$C$33),0)</f>
        <v>0</v>
      </c>
      <c r="H477" s="24" t="n">
        <f aca="false">IF(OR(H$459=1,H$459=2),Inputs!$C$31*Inputs!$C$30/2,0)+IF(AND(H$459=2,$C$449&gt;Inputs!$C$33),Inputs!$C$31*Inputs!$C$30*Inputs!$C$36*($C$449-Inputs!$C$33),0)</f>
        <v>0</v>
      </c>
      <c r="I477" s="24" t="n">
        <f aca="false">IF(OR(I$459=1,I$459=2),Inputs!$C$31*Inputs!$C$30/2,0)+IF(AND(I$459=2,$C$449&gt;Inputs!$C$33),Inputs!$C$31*Inputs!$C$30*Inputs!$C$36*($C$449-Inputs!$C$33),0)</f>
        <v>0</v>
      </c>
      <c r="J477" s="24" t="n">
        <f aca="false">IF(OR(J$459=1,J$459=2),Inputs!$C$31*Inputs!$C$30/2,0)+IF(AND(J$459=2,$C$449&gt;Inputs!$C$33),Inputs!$C$31*Inputs!$C$30*Inputs!$C$36*($C$449-Inputs!$C$33),0)</f>
        <v>0</v>
      </c>
      <c r="K477" s="24" t="n">
        <f aca="false">IF(OR(K$459=1,K$459=2),Inputs!$C$31*Inputs!$C$30/2,0)+IF(AND(K$459=2,$C$449&gt;Inputs!$C$33),Inputs!$C$31*Inputs!$C$30*Inputs!$C$36*($C$449-Inputs!$C$33),0)</f>
        <v>0</v>
      </c>
      <c r="L477" s="24" t="n">
        <f aca="false">IF(OR(L$459=1,L$459=2),Inputs!$C$31*Inputs!$C$30/2,0)+IF(AND(L$459=2,$C$449&gt;Inputs!$C$33),Inputs!$C$31*Inputs!$C$30*Inputs!$C$36*($C$449-Inputs!$C$33),0)</f>
        <v>0</v>
      </c>
      <c r="M477" s="24" t="n">
        <f aca="false">IF(OR(M$459=1,M$459=2),Inputs!$C$31*Inputs!$C$30/2,0)+IF(AND(M$459=2,$C$449&gt;Inputs!$C$33),Inputs!$C$31*Inputs!$C$30*Inputs!$C$36*($C$449-Inputs!$C$33),0)</f>
        <v>0</v>
      </c>
      <c r="N477" s="24" t="n">
        <f aca="false">IF(OR(N$459=1,N$459=2),Inputs!$C$31*Inputs!$C$30/2,0)+IF(AND(N$459=2,$C$449&gt;Inputs!$C$33),Inputs!$C$31*Inputs!$C$30*Inputs!$C$36*($C$449-Inputs!$C$33),0)</f>
        <v>0</v>
      </c>
      <c r="O477" s="24" t="n">
        <f aca="false">IF(OR(O$459=1,O$459=2),Inputs!$C$31*Inputs!$C$30/2,0)+IF(AND(O$459=2,$C$449&gt;Inputs!$C$33),Inputs!$C$31*Inputs!$C$30*Inputs!$C$36*($C$449-Inputs!$C$33),0)</f>
        <v>0</v>
      </c>
    </row>
    <row r="478" customFormat="false" ht="15" hidden="false" customHeight="false" outlineLevel="0" collapsed="false">
      <c r="B478" s="9" t="s">
        <v>160</v>
      </c>
      <c r="E478" s="24" t="n">
        <f aca="false">IF(E$459=Inputs!$C$9+1,Inputs!$C$6*IF($C$447="renew",Inputs!$C$44,IF($C$447="retrofit",Inputs!$C$45,IF($C$447="relet",Inputs!$C$55,0))),0)</f>
        <v>0</v>
      </c>
      <c r="F478" s="24" t="n">
        <f aca="false">IF(F$459=Inputs!$C$9+1,Inputs!$C$6*IF($C$447="renew",Inputs!$C$44,IF($C$447="retrofit",Inputs!$C$45,IF($C$447="relet",Inputs!$C$55,0))),0)</f>
        <v>0</v>
      </c>
      <c r="G478" s="24" t="n">
        <f aca="false">IF(G$459=Inputs!$C$9+1,Inputs!$C$6*IF($C$447="renew",Inputs!$C$44,IF($C$447="retrofit",Inputs!$C$45,IF($C$447="relet",Inputs!$C$55,0))),0)</f>
        <v>0</v>
      </c>
      <c r="H478" s="24" t="n">
        <f aca="false">IF(H$459=Inputs!$C$9+1,Inputs!$C$6*IF($C$447="renew",Inputs!$C$44,IF($C$447="retrofit",Inputs!$C$45,IF($C$447="relet",Inputs!$C$55,0))),0)</f>
        <v>0</v>
      </c>
      <c r="I478" s="24" t="n">
        <f aca="false">IF(I$459=Inputs!$C$9+1,Inputs!$C$6*IF($C$447="renew",Inputs!$C$44,IF($C$447="retrofit",Inputs!$C$45,IF($C$447="relet",Inputs!$C$55,0))),0)</f>
        <v>0</v>
      </c>
      <c r="J478" s="24" t="n">
        <f aca="false">IF(J$459=Inputs!$C$9+1,Inputs!$C$6*IF($C$447="renew",Inputs!$C$44,IF($C$447="retrofit",Inputs!$C$45,IF($C$447="relet",Inputs!$C$55,0))),0)</f>
        <v>0</v>
      </c>
      <c r="K478" s="24" t="n">
        <f aca="false">IF(K$459=Inputs!$C$9+1,Inputs!$C$6*IF($C$447="renew",Inputs!$C$44,IF($C$447="retrofit",Inputs!$C$45,IF($C$447="relet",Inputs!$C$55,0))),0)</f>
        <v>0</v>
      </c>
      <c r="L478" s="24" t="n">
        <f aca="false">IF(L$459=Inputs!$C$9+1,Inputs!$C$6*IF($C$447="renew",Inputs!$C$44,IF($C$447="retrofit",Inputs!$C$45,IF($C$447="relet",Inputs!$C$55,0))),0)</f>
        <v>0</v>
      </c>
      <c r="M478" s="24" t="n">
        <f aca="false">IF(M$459=Inputs!$C$9+1,Inputs!$C$6*IF($C$447="renew",Inputs!$C$44,IF($C$447="retrofit",Inputs!$C$45,IF($C$447="relet",Inputs!$C$55,0))),0)</f>
        <v>12.8</v>
      </c>
      <c r="N478" s="24" t="n">
        <f aca="false">IF(N$459=Inputs!$C$9+1,Inputs!$C$6*IF($C$447="renew",Inputs!$C$44,IF($C$447="retrofit",Inputs!$C$45,IF($C$447="relet",Inputs!$C$55,0))),0)</f>
        <v>0</v>
      </c>
      <c r="O478" s="24" t="n">
        <f aca="false">IF(O$459=Inputs!$C$9+1,Inputs!$C$6*IF($C$447="renew",Inputs!$C$44,IF($C$447="retrofit",Inputs!$C$45,IF($C$447="relet",Inputs!$C$55,0))),0)</f>
        <v>0</v>
      </c>
    </row>
    <row r="479" customFormat="false" ht="15" hidden="false" customHeight="false" outlineLevel="0" collapsed="false">
      <c r="B479" s="29" t="s">
        <v>161</v>
      </c>
      <c r="E479" s="30" t="n">
        <f aca="false">E475-E476-E477-E478</f>
        <v>-33.1479936</v>
      </c>
      <c r="F479" s="30" t="n">
        <f aca="false">F475-F476-F477-F478</f>
        <v>-31.829283456</v>
      </c>
      <c r="G479" s="30" t="n">
        <f aca="false">G475-G476-G477-G478</f>
        <v>80.58211169088</v>
      </c>
      <c r="H479" s="30" t="n">
        <f aca="false">H475-H476-H477-H478</f>
        <v>82.4617832246976</v>
      </c>
      <c r="I479" s="30" t="n">
        <f aca="false">I475-I476-I477-I478</f>
        <v>74.8143853241916</v>
      </c>
      <c r="J479" s="30" t="n">
        <f aca="false">J475-J476-J477-J478</f>
        <v>76.0814577707254</v>
      </c>
      <c r="K479" s="30" t="n">
        <f aca="false">K475-K476-K477-K478</f>
        <v>77.3679210492874</v>
      </c>
      <c r="L479" s="30" t="n">
        <f aca="false">L475-L476-L477-L478</f>
        <v>78.6740015491215</v>
      </c>
      <c r="M479" s="30" t="n">
        <f aca="false">M475-M476-M477-M478</f>
        <v>59.9684330447839</v>
      </c>
      <c r="N479" s="30" t="n">
        <f aca="false">N475-N476-N477-N478</f>
        <v>73.9697976297785</v>
      </c>
      <c r="O479" s="30" t="n">
        <f aca="false">O475-O476-O477-O478</f>
        <v>75.1885661961951</v>
      </c>
    </row>
    <row r="480" customFormat="false" ht="15" hidden="false" customHeight="false" outlineLevel="0" collapsed="false">
      <c r="B480" s="6" t="s">
        <v>162</v>
      </c>
    </row>
    <row r="482" customFormat="false" ht="15" hidden="false" customHeight="false" outlineLevel="0" collapsed="false">
      <c r="B482" s="9" t="s">
        <v>163</v>
      </c>
      <c r="C482" s="23" t="n">
        <f aca="false">IF($C$447="renew",Inputs!$C$67,IF($C$447="retrofit",Inputs!$C$68,IF($C$447="relet",Inputs!$C$69,Inputs!$C$70)))+$C$453</f>
        <v>0.0625</v>
      </c>
    </row>
    <row r="483" customFormat="false" ht="15" hidden="false" customHeight="false" outlineLevel="0" collapsed="false">
      <c r="B483" s="9" t="s">
        <v>164</v>
      </c>
      <c r="C483" s="24" t="n">
        <f aca="false">O470+O472-O473-Inputs!$C$12*O470</f>
        <v>32.1051648944678</v>
      </c>
    </row>
    <row r="484" customFormat="false" ht="15" hidden="false" customHeight="false" outlineLevel="0" collapsed="false">
      <c r="B484" s="9" t="s">
        <v>165</v>
      </c>
      <c r="C484" s="24" t="n">
        <f aca="false">O475-$C$483</f>
        <v>45.5024507845467</v>
      </c>
    </row>
    <row r="485" customFormat="false" ht="15" hidden="false" customHeight="false" outlineLevel="0" collapsed="false">
      <c r="B485" s="9" t="s">
        <v>166</v>
      </c>
      <c r="C485" s="24" t="n">
        <f aca="false">IF($C$447="stranded",Inputs!$C$57*Inputs!$C$6-Inputs!$C$58,0)</f>
        <v>0</v>
      </c>
    </row>
    <row r="486" customFormat="false" ht="15" hidden="false" customHeight="false" outlineLevel="0" collapsed="false">
      <c r="B486" s="9" t="s">
        <v>167</v>
      </c>
      <c r="C486" s="24" t="n">
        <f aca="false">($C$483+$C$484)/$C$482+$C$485</f>
        <v>1241.72185086423</v>
      </c>
    </row>
    <row r="487" customFormat="false" ht="15" hidden="false" customHeight="false" outlineLevel="0" collapsed="false">
      <c r="B487" s="29" t="s">
        <v>168</v>
      </c>
      <c r="C487" s="30" t="n">
        <f aca="false">$C$486*(1-Inputs!$C$66)</f>
        <v>1223.09602310127</v>
      </c>
    </row>
    <row r="488" customFormat="false" ht="15" hidden="false" customHeight="false" outlineLevel="0" collapsed="false">
      <c r="B488" s="9" t="s">
        <v>169</v>
      </c>
      <c r="C488" s="24" t="n">
        <f aca="false">$C$457*(1+Inputs!$C$65)</f>
        <v>918</v>
      </c>
    </row>
    <row r="490" customFormat="false" ht="15" hidden="false" customHeight="false" outlineLevel="0" collapsed="false">
      <c r="B490" s="25" t="s">
        <v>170</v>
      </c>
      <c r="C490" s="26"/>
      <c r="D490" s="26" t="n">
        <v>0</v>
      </c>
      <c r="E490" s="26" t="n">
        <v>1</v>
      </c>
      <c r="F490" s="26" t="n">
        <v>2</v>
      </c>
      <c r="G490" s="26" t="n">
        <v>3</v>
      </c>
      <c r="H490" s="26" t="n">
        <v>4</v>
      </c>
      <c r="I490" s="26" t="n">
        <v>5</v>
      </c>
      <c r="J490" s="26" t="n">
        <v>6</v>
      </c>
      <c r="K490" s="26" t="n">
        <v>7</v>
      </c>
      <c r="L490" s="26" t="n">
        <v>8</v>
      </c>
      <c r="M490" s="26" t="n">
        <v>9</v>
      </c>
      <c r="N490" s="26" t="n">
        <v>10</v>
      </c>
    </row>
    <row r="491" customFormat="false" ht="15" hidden="false" customHeight="false" outlineLevel="0" collapsed="false">
      <c r="B491" s="29" t="s">
        <v>171</v>
      </c>
      <c r="D491" s="30" t="n">
        <f aca="false">-$C$488</f>
        <v>-918</v>
      </c>
      <c r="E491" s="30" t="n">
        <f aca="false">E479</f>
        <v>-33.1479936</v>
      </c>
      <c r="F491" s="30" t="n">
        <f aca="false">F479</f>
        <v>-31.829283456</v>
      </c>
      <c r="G491" s="30" t="n">
        <f aca="false">G479</f>
        <v>80.58211169088</v>
      </c>
      <c r="H491" s="30" t="n">
        <f aca="false">H479</f>
        <v>82.4617832246976</v>
      </c>
      <c r="I491" s="30" t="n">
        <f aca="false">I479</f>
        <v>74.8143853241916</v>
      </c>
      <c r="J491" s="30" t="n">
        <f aca="false">J479</f>
        <v>76.0814577707254</v>
      </c>
      <c r="K491" s="30" t="n">
        <f aca="false">K479</f>
        <v>77.3679210492874</v>
      </c>
      <c r="L491" s="30" t="n">
        <f aca="false">L479</f>
        <v>78.6740015491215</v>
      </c>
      <c r="M491" s="30" t="n">
        <f aca="false">M479</f>
        <v>59.9684330447839</v>
      </c>
      <c r="N491" s="30" t="n">
        <f aca="false">N479+$C$487</f>
        <v>1297.06582073105</v>
      </c>
    </row>
    <row r="492" customFormat="false" ht="15" hidden="false" customHeight="false" outlineLevel="0" collapsed="false">
      <c r="B492" s="29" t="s">
        <v>172</v>
      </c>
      <c r="C492" s="31" t="n">
        <f aca="false">IRR(D491:N491,0.08)</f>
        <v>0.0753954845644525</v>
      </c>
    </row>
    <row r="495" customFormat="false" ht="15" hidden="false" customHeight="false" outlineLevel="0" collapsed="false">
      <c r="B495" s="7" t="s">
        <v>234</v>
      </c>
      <c r="C495" s="8"/>
      <c r="D495" s="8"/>
      <c r="E495" s="8"/>
      <c r="F495" s="8"/>
      <c r="G495" s="8"/>
      <c r="H495" s="8"/>
      <c r="I495" s="8"/>
      <c r="J495" s="8"/>
      <c r="K495" s="8"/>
      <c r="L495" s="8"/>
      <c r="M495" s="8"/>
      <c r="N495" s="8"/>
      <c r="O495" s="8"/>
    </row>
    <row r="496" customFormat="false" ht="15" hidden="false" customHeight="false" outlineLevel="0" collapsed="false">
      <c r="B496" s="9" t="s">
        <v>130</v>
      </c>
      <c r="C496" s="18" t="str">
        <f aca="false">Inputs!$C$42</f>
        <v>renew</v>
      </c>
    </row>
    <row r="497" customFormat="false" ht="15" hidden="false" customHeight="false" outlineLevel="0" collapsed="false">
      <c r="B497" s="9" t="s">
        <v>131</v>
      </c>
      <c r="C497" s="19" t="n">
        <f aca="false">Inputs!$C$92</f>
        <v>0.4</v>
      </c>
    </row>
    <row r="498" customFormat="false" ht="15" hidden="false" customHeight="false" outlineLevel="0" collapsed="false">
      <c r="B498" s="9" t="s">
        <v>132</v>
      </c>
      <c r="C498" s="20" t="n">
        <f aca="false">Inputs!$C$32</f>
        <v>3</v>
      </c>
    </row>
    <row r="499" customFormat="false" ht="15" hidden="false" customHeight="false" outlineLevel="0" collapsed="false">
      <c r="B499" s="9" t="s">
        <v>133</v>
      </c>
      <c r="C499" s="13" t="n">
        <v>0</v>
      </c>
    </row>
    <row r="500" customFormat="false" ht="15" hidden="false" customHeight="false" outlineLevel="0" collapsed="false">
      <c r="B500" s="9" t="s">
        <v>134</v>
      </c>
      <c r="C500" s="21" t="n">
        <f aca="false">Inputs!$C$60</f>
        <v>0.45</v>
      </c>
    </row>
    <row r="501" customFormat="false" ht="15" hidden="false" customHeight="false" outlineLevel="0" collapsed="false">
      <c r="B501" s="9" t="s">
        <v>135</v>
      </c>
      <c r="C501" s="22" t="n">
        <f aca="false">Inputs!$C$61</f>
        <v>1.55</v>
      </c>
    </row>
    <row r="502" customFormat="false" ht="15" hidden="false" customHeight="false" outlineLevel="0" collapsed="false">
      <c r="B502" s="9" t="s">
        <v>136</v>
      </c>
      <c r="C502" s="23" t="n">
        <f aca="false">Inputs!$C$95</f>
        <v>0.0075</v>
      </c>
    </row>
    <row r="503" customFormat="false" ht="15" hidden="false" customHeight="false" outlineLevel="0" collapsed="false">
      <c r="B503" s="9" t="s">
        <v>30</v>
      </c>
      <c r="C503" s="22" t="n">
        <f aca="false">Inputs!$C$18</f>
        <v>1.4</v>
      </c>
    </row>
    <row r="504" customFormat="false" ht="15" hidden="false" customHeight="false" outlineLevel="0" collapsed="false">
      <c r="B504" s="9" t="s">
        <v>137</v>
      </c>
      <c r="C504" s="19" t="n">
        <f aca="false">Inputs!$C$43</f>
        <v>0.9</v>
      </c>
    </row>
    <row r="505" customFormat="false" ht="15" hidden="false" customHeight="false" outlineLevel="0" collapsed="false">
      <c r="B505" s="9" t="s">
        <v>138</v>
      </c>
      <c r="C505" s="24" t="n">
        <f aca="false">Inputs!$C$49</f>
        <v>120</v>
      </c>
    </row>
    <row r="506" customFormat="false" ht="15" hidden="false" customHeight="false" outlineLevel="0" collapsed="false">
      <c r="B506" s="9" t="s">
        <v>139</v>
      </c>
      <c r="C506" s="24" t="n">
        <f aca="false">Inputs!$C$64</f>
        <v>900</v>
      </c>
    </row>
    <row r="507" customFormat="false" ht="15" hidden="false" customHeight="false" outlineLevel="0" collapsed="false">
      <c r="B507" s="9" t="s">
        <v>140</v>
      </c>
      <c r="C507" s="24" t="n">
        <f aca="false">Inputs!$C$6*1000*Inputs!$C$7*12*(1+Inputs!$C$8)^(Inputs!$C$9-1)/1000000</f>
        <v>60.8711509000706</v>
      </c>
    </row>
    <row r="508" customFormat="false" ht="15" hidden="false" customHeight="false" outlineLevel="0" collapsed="false">
      <c r="B508" s="25" t="s">
        <v>141</v>
      </c>
      <c r="C508" s="26"/>
      <c r="E508" s="26" t="n">
        <v>1</v>
      </c>
      <c r="F508" s="26" t="n">
        <v>2</v>
      </c>
      <c r="G508" s="26" t="n">
        <v>3</v>
      </c>
      <c r="H508" s="26" t="n">
        <v>4</v>
      </c>
      <c r="I508" s="26" t="n">
        <v>5</v>
      </c>
      <c r="J508" s="26" t="n">
        <v>6</v>
      </c>
      <c r="K508" s="26" t="n">
        <v>7</v>
      </c>
      <c r="L508" s="26" t="n">
        <v>8</v>
      </c>
      <c r="M508" s="26" t="n">
        <v>9</v>
      </c>
      <c r="N508" s="26" t="n">
        <v>10</v>
      </c>
      <c r="O508" s="26" t="n">
        <v>11</v>
      </c>
    </row>
    <row r="509" customFormat="false" ht="15" hidden="false" customHeight="false" outlineLevel="0" collapsed="false">
      <c r="B509" s="9" t="s">
        <v>142</v>
      </c>
      <c r="E509" s="24" t="n">
        <f aca="false">IF(E$508&lt;=Inputs!$C$22,Inputs!$C$21,Inputs!$C$23*(1+Inputs!$C$24)^(E$508-5)*IF(AND($C$497&lt;&gt;0,E$508&gt;=Inputs!$C$26),1+$C$497,1))</f>
        <v>61</v>
      </c>
      <c r="F509" s="24" t="n">
        <f aca="false">IF(F$508&lt;=Inputs!$C$22,Inputs!$C$21,Inputs!$C$23*(1+Inputs!$C$24)^(F$508-5)*IF(AND($C$497&lt;&gt;0,F$508&gt;=Inputs!$C$26),1+$C$497,1))</f>
        <v>61</v>
      </c>
      <c r="G509" s="24" t="n">
        <f aca="false">IF(G$508&lt;=Inputs!$C$22,Inputs!$C$21,Inputs!$C$23*(1+Inputs!$C$24)^(G$508-5)*IF(AND($C$497&lt;&gt;0,G$508&gt;=Inputs!$C$26),1+$C$497,1))</f>
        <v>61</v>
      </c>
      <c r="H509" s="24" t="n">
        <f aca="false">IF(H$508&lt;=Inputs!$C$22,Inputs!$C$21,Inputs!$C$23*(1+Inputs!$C$24)^(H$508-5)*IF(AND($C$497&lt;&gt;0,H$508&gt;=Inputs!$C$26),1+$C$497,1))</f>
        <v>61</v>
      </c>
      <c r="I509" s="24" t="n">
        <f aca="false">IF(I$508&lt;=Inputs!$C$22,Inputs!$C$21,Inputs!$C$23*(1+Inputs!$C$24)^(I$508-5)*IF(AND($C$497&lt;&gt;0,I$508&gt;=Inputs!$C$26),1+$C$497,1))</f>
        <v>93.8</v>
      </c>
      <c r="J509" s="24" t="n">
        <f aca="false">IF(J$508&lt;=Inputs!$C$22,Inputs!$C$21,Inputs!$C$23*(1+Inputs!$C$24)^(J$508-5)*IF(AND($C$497&lt;&gt;0,J$508&gt;=Inputs!$C$26),1+$C$497,1))</f>
        <v>96.145</v>
      </c>
      <c r="K509" s="24" t="n">
        <f aca="false">IF(K$508&lt;=Inputs!$C$22,Inputs!$C$21,Inputs!$C$23*(1+Inputs!$C$24)^(K$508-5)*IF(AND($C$497&lt;&gt;0,K$508&gt;=Inputs!$C$26),1+$C$497,1))</f>
        <v>98.548625</v>
      </c>
      <c r="L509" s="24" t="n">
        <f aca="false">IF(L$508&lt;=Inputs!$C$22,Inputs!$C$21,Inputs!$C$23*(1+Inputs!$C$24)^(L$508-5)*IF(AND($C$497&lt;&gt;0,L$508&gt;=Inputs!$C$26),1+$C$497,1))</f>
        <v>101.012340625</v>
      </c>
      <c r="M509" s="24" t="n">
        <f aca="false">IF(M$508&lt;=Inputs!$C$22,Inputs!$C$21,Inputs!$C$23*(1+Inputs!$C$24)^(M$508-5)*IF(AND($C$497&lt;&gt;0,M$508&gt;=Inputs!$C$26),1+$C$497,1))</f>
        <v>103.537649140625</v>
      </c>
      <c r="N509" s="24" t="n">
        <f aca="false">IF(N$508&lt;=Inputs!$C$22,Inputs!$C$21,Inputs!$C$23*(1+Inputs!$C$24)^(N$508-5)*IF(AND($C$497&lt;&gt;0,N$508&gt;=Inputs!$C$26),1+$C$497,1))</f>
        <v>106.126090369141</v>
      </c>
      <c r="O509" s="24" t="n">
        <f aca="false">IF(O$508&lt;=Inputs!$C$22,Inputs!$C$21,Inputs!$C$23*(1+Inputs!$C$24)^(O$508-5)*IF(AND($C$497&lt;&gt;0,O$508&gt;=Inputs!$C$26),1+$C$497,1))</f>
        <v>108.779242628369</v>
      </c>
    </row>
    <row r="510" customFormat="false" ht="15" hidden="false" customHeight="false" outlineLevel="0" collapsed="false">
      <c r="B510" s="9" t="s">
        <v>143</v>
      </c>
      <c r="E510" s="24" t="n">
        <f aca="false">Inputs!$C$19*(1+Inputs!$C$20)^(E$508-1)</f>
        <v>74</v>
      </c>
      <c r="F510" s="24" t="n">
        <f aca="false">Inputs!$C$19*(1+Inputs!$C$20)^(F$508-1)</f>
        <v>75.48</v>
      </c>
      <c r="G510" s="24" t="n">
        <f aca="false">Inputs!$C$19*(1+Inputs!$C$20)^(G$508-1)</f>
        <v>76.9896</v>
      </c>
      <c r="H510" s="24" t="n">
        <f aca="false">Inputs!$C$19*(1+Inputs!$C$20)^(H$508-1)</f>
        <v>78.529392</v>
      </c>
      <c r="I510" s="24" t="n">
        <f aca="false">Inputs!$C$19*(1+Inputs!$C$20)^(I$508-1)</f>
        <v>80.09997984</v>
      </c>
      <c r="J510" s="24" t="n">
        <f aca="false">Inputs!$C$19*(1+Inputs!$C$20)^(J$508-1)</f>
        <v>81.7019794368</v>
      </c>
      <c r="K510" s="24" t="n">
        <f aca="false">Inputs!$C$19*(1+Inputs!$C$20)^(K$508-1)</f>
        <v>83.336019025536</v>
      </c>
      <c r="L510" s="24" t="n">
        <f aca="false">Inputs!$C$19*(1+Inputs!$C$20)^(L$508-1)</f>
        <v>85.0027394060467</v>
      </c>
      <c r="M510" s="24" t="n">
        <f aca="false">Inputs!$C$19*(1+Inputs!$C$20)^(M$508-1)</f>
        <v>86.7027941941677</v>
      </c>
      <c r="N510" s="24" t="n">
        <f aca="false">Inputs!$C$19*(1+Inputs!$C$20)^(N$508-1)</f>
        <v>88.436850078051</v>
      </c>
      <c r="O510" s="24" t="n">
        <f aca="false">Inputs!$C$19*(1+Inputs!$C$20)^(O$508-1)</f>
        <v>90.205587079612</v>
      </c>
    </row>
    <row r="511" customFormat="false" ht="15" hidden="false" customHeight="false" outlineLevel="0" collapsed="false">
      <c r="B511" s="9" t="s">
        <v>144</v>
      </c>
      <c r="E511" s="27" t="n">
        <f aca="false">(1+Inputs!$C$11)^(E$508-1)</f>
        <v>1</v>
      </c>
      <c r="F511" s="27" t="n">
        <f aca="false">(1+Inputs!$C$11)^(F$508-1)</f>
        <v>1.03</v>
      </c>
      <c r="G511" s="27" t="n">
        <f aca="false">(1+Inputs!$C$11)^(G$508-1)</f>
        <v>1.0609</v>
      </c>
      <c r="H511" s="27" t="n">
        <f aca="false">(1+Inputs!$C$11)^(H$508-1)</f>
        <v>1.092727</v>
      </c>
      <c r="I511" s="27" t="n">
        <f aca="false">(1+Inputs!$C$11)^(I$508-1)</f>
        <v>1.12550881</v>
      </c>
      <c r="J511" s="27" t="n">
        <f aca="false">(1+Inputs!$C$11)^(J$508-1)</f>
        <v>1.1592740743</v>
      </c>
      <c r="K511" s="27" t="n">
        <f aca="false">(1+Inputs!$C$11)^(K$508-1)</f>
        <v>1.194052296529</v>
      </c>
      <c r="L511" s="27" t="n">
        <f aca="false">(1+Inputs!$C$11)^(L$508-1)</f>
        <v>1.22987386542487</v>
      </c>
      <c r="M511" s="27" t="n">
        <f aca="false">(1+Inputs!$C$11)^(M$508-1)</f>
        <v>1.26677008138762</v>
      </c>
      <c r="N511" s="27" t="n">
        <f aca="false">(1+Inputs!$C$11)^(N$508-1)</f>
        <v>1.30477318382925</v>
      </c>
      <c r="O511" s="27" t="n">
        <f aca="false">(1+Inputs!$C$11)^(O$508-1)</f>
        <v>1.34391637934412</v>
      </c>
    </row>
    <row r="512" customFormat="false" ht="15" hidden="false" customHeight="false" outlineLevel="0" collapsed="false">
      <c r="B512" s="9" t="s">
        <v>145</v>
      </c>
      <c r="E512" s="19" t="n">
        <f aca="false">IF(OR(E$508&lt;=Inputs!$C$9,$C$496="renew"),IF(AND($C$499&gt;0,E$508&gt;=$C$499),$C$500,Inputs!$C$16),IF($C$496="stranded",0,Inputs!$C$16))</f>
        <v>0.8</v>
      </c>
      <c r="F512" s="19" t="n">
        <f aca="false">IF(OR(F$508&lt;=Inputs!$C$9,$C$496="renew"),IF(AND($C$499&gt;0,F$508&gt;=$C$499),$C$500,Inputs!$C$16),IF($C$496="stranded",0,Inputs!$C$16))</f>
        <v>0.8</v>
      </c>
      <c r="G512" s="19" t="n">
        <f aca="false">IF(OR(G$508&lt;=Inputs!$C$9,$C$496="renew"),IF(AND($C$499&gt;0,G$508&gt;=$C$499),$C$500,Inputs!$C$16),IF($C$496="stranded",0,Inputs!$C$16))</f>
        <v>0.8</v>
      </c>
      <c r="H512" s="19" t="n">
        <f aca="false">IF(OR(H$508&lt;=Inputs!$C$9,$C$496="renew"),IF(AND($C$499&gt;0,H$508&gt;=$C$499),$C$500,Inputs!$C$16),IF($C$496="stranded",0,Inputs!$C$16))</f>
        <v>0.8</v>
      </c>
      <c r="I512" s="19" t="n">
        <f aca="false">IF(OR(I$508&lt;=Inputs!$C$9,$C$496="renew"),IF(AND($C$499&gt;0,I$508&gt;=$C$499),$C$500,Inputs!$C$16),IF($C$496="stranded",0,Inputs!$C$16))</f>
        <v>0.8</v>
      </c>
      <c r="J512" s="19" t="n">
        <f aca="false">IF(OR(J$508&lt;=Inputs!$C$9,$C$496="renew"),IF(AND($C$499&gt;0,J$508&gt;=$C$499),$C$500,Inputs!$C$16),IF($C$496="stranded",0,Inputs!$C$16))</f>
        <v>0.8</v>
      </c>
      <c r="K512" s="19" t="n">
        <f aca="false">IF(OR(K$508&lt;=Inputs!$C$9,$C$496="renew"),IF(AND($C$499&gt;0,K$508&gt;=$C$499),$C$500,Inputs!$C$16),IF($C$496="stranded",0,Inputs!$C$16))</f>
        <v>0.8</v>
      </c>
      <c r="L512" s="19" t="n">
        <f aca="false">IF(OR(L$508&lt;=Inputs!$C$9,$C$496="renew"),IF(AND($C$499&gt;0,L$508&gt;=$C$499),$C$500,Inputs!$C$16),IF($C$496="stranded",0,Inputs!$C$16))</f>
        <v>0.8</v>
      </c>
      <c r="M512" s="19" t="n">
        <f aca="false">IF(OR(M$508&lt;=Inputs!$C$9,$C$496="renew"),IF(AND($C$499&gt;0,M$508&gt;=$C$499),$C$500,Inputs!$C$16),IF($C$496="stranded",0,Inputs!$C$16))</f>
        <v>0.8</v>
      </c>
      <c r="N512" s="19" t="n">
        <f aca="false">IF(OR(N$508&lt;=Inputs!$C$9,$C$496="renew"),IF(AND($C$499&gt;0,N$508&gt;=$C$499),$C$500,Inputs!$C$16),IF($C$496="stranded",0,Inputs!$C$16))</f>
        <v>0.8</v>
      </c>
      <c r="O512" s="19" t="n">
        <f aca="false">IF(OR(O$508&lt;=Inputs!$C$9,$C$496="renew"),IF(AND($C$499&gt;0,O$508&gt;=$C$499),$C$500,Inputs!$C$16),IF($C$496="stranded",0,Inputs!$C$16))</f>
        <v>0.8</v>
      </c>
    </row>
    <row r="513" customFormat="false" ht="15" hidden="false" customHeight="false" outlineLevel="0" collapsed="false">
      <c r="B513" s="9" t="s">
        <v>146</v>
      </c>
      <c r="E513" s="22" t="n">
        <f aca="false">IF(OR(E$508&lt;=Inputs!$C$9,$C$496="renew"),IF(AND($C$499&gt;0,E$508&gt;=$C$499),$C$501,$C$503),IF($C$496="retrofit",Inputs!$C$47,IF($C$496="relet",Inputs!$C$53,0)))</f>
        <v>1.4</v>
      </c>
      <c r="F513" s="22" t="n">
        <f aca="false">IF(OR(F$508&lt;=Inputs!$C$9,$C$496="renew"),IF(AND($C$499&gt;0,F$508&gt;=$C$499),$C$501,$C$503),IF($C$496="retrofit",Inputs!$C$47,IF($C$496="relet",Inputs!$C$53,0)))</f>
        <v>1.4</v>
      </c>
      <c r="G513" s="22" t="n">
        <f aca="false">IF(OR(G$508&lt;=Inputs!$C$9,$C$496="renew"),IF(AND($C$499&gt;0,G$508&gt;=$C$499),$C$501,$C$503),IF($C$496="retrofit",Inputs!$C$47,IF($C$496="relet",Inputs!$C$53,0)))</f>
        <v>1.4</v>
      </c>
      <c r="H513" s="22" t="n">
        <f aca="false">IF(OR(H$508&lt;=Inputs!$C$9,$C$496="renew"),IF(AND($C$499&gt;0,H$508&gt;=$C$499),$C$501,$C$503),IF($C$496="retrofit",Inputs!$C$47,IF($C$496="relet",Inputs!$C$53,0)))</f>
        <v>1.4</v>
      </c>
      <c r="I513" s="22" t="n">
        <f aca="false">IF(OR(I$508&lt;=Inputs!$C$9,$C$496="renew"),IF(AND($C$499&gt;0,I$508&gt;=$C$499),$C$501,$C$503),IF($C$496="retrofit",Inputs!$C$47,IF($C$496="relet",Inputs!$C$53,0)))</f>
        <v>1.4</v>
      </c>
      <c r="J513" s="22" t="n">
        <f aca="false">IF(OR(J$508&lt;=Inputs!$C$9,$C$496="renew"),IF(AND($C$499&gt;0,J$508&gt;=$C$499),$C$501,$C$503),IF($C$496="retrofit",Inputs!$C$47,IF($C$496="relet",Inputs!$C$53,0)))</f>
        <v>1.4</v>
      </c>
      <c r="K513" s="22" t="n">
        <f aca="false">IF(OR(K$508&lt;=Inputs!$C$9,$C$496="renew"),IF(AND($C$499&gt;0,K$508&gt;=$C$499),$C$501,$C$503),IF($C$496="retrofit",Inputs!$C$47,IF($C$496="relet",Inputs!$C$53,0)))</f>
        <v>1.4</v>
      </c>
      <c r="L513" s="22" t="n">
        <f aca="false">IF(OR(L$508&lt;=Inputs!$C$9,$C$496="renew"),IF(AND($C$499&gt;0,L$508&gt;=$C$499),$C$501,$C$503),IF($C$496="retrofit",Inputs!$C$47,IF($C$496="relet",Inputs!$C$53,0)))</f>
        <v>1.4</v>
      </c>
      <c r="M513" s="22" t="n">
        <f aca="false">IF(OR(M$508&lt;=Inputs!$C$9,$C$496="renew"),IF(AND($C$499&gt;0,M$508&gt;=$C$499),$C$501,$C$503),IF($C$496="retrofit",Inputs!$C$47,IF($C$496="relet",Inputs!$C$53,0)))</f>
        <v>1.4</v>
      </c>
      <c r="N513" s="22" t="n">
        <f aca="false">IF(OR(N$508&lt;=Inputs!$C$9,$C$496="renew"),IF(AND($C$499&gt;0,N$508&gt;=$C$499),$C$501,$C$503),IF($C$496="retrofit",Inputs!$C$47,IF($C$496="relet",Inputs!$C$53,0)))</f>
        <v>1.4</v>
      </c>
      <c r="O513" s="22" t="n">
        <f aca="false">IF(OR(O$508&lt;=Inputs!$C$9,$C$496="renew"),IF(AND($C$499&gt;0,O$508&gt;=$C$499),$C$501,$C$503),IF($C$496="retrofit",Inputs!$C$47,IF($C$496="relet",Inputs!$C$53,0)))</f>
        <v>1.4</v>
      </c>
    </row>
    <row r="514" customFormat="false" ht="15" hidden="false" customHeight="false" outlineLevel="0" collapsed="false">
      <c r="B514" s="9" t="s">
        <v>147</v>
      </c>
      <c r="E514" s="21" t="n">
        <f aca="false">IF(OR(E$508&lt;=Inputs!$C$9,$C$496="renew"),1,IF($C$496="retrofit",IF(E$508-Inputs!$C$9=1,0,1),IF($C$496="relet",CHOOSE(MIN(E$508-Inputs!$C$9,3),Inputs!$C$50,Inputs!$C$51,Inputs!$C$52),0)))</f>
        <v>1</v>
      </c>
      <c r="F514" s="21" t="n">
        <f aca="false">IF(OR(F$508&lt;=Inputs!$C$9,$C$496="renew"),1,IF($C$496="retrofit",IF(F$508-Inputs!$C$9=1,0,1),IF($C$496="relet",CHOOSE(MIN(F$508-Inputs!$C$9,3),Inputs!$C$50,Inputs!$C$51,Inputs!$C$52),0)))</f>
        <v>1</v>
      </c>
      <c r="G514" s="21" t="n">
        <f aca="false">IF(OR(G$508&lt;=Inputs!$C$9,$C$496="renew"),1,IF($C$496="retrofit",IF(G$508-Inputs!$C$9=1,0,1),IF($C$496="relet",CHOOSE(MIN(G$508-Inputs!$C$9,3),Inputs!$C$50,Inputs!$C$51,Inputs!$C$52),0)))</f>
        <v>1</v>
      </c>
      <c r="H514" s="21" t="n">
        <f aca="false">IF(OR(H$508&lt;=Inputs!$C$9,$C$496="renew"),1,IF($C$496="retrofit",IF(H$508-Inputs!$C$9=1,0,1),IF($C$496="relet",CHOOSE(MIN(H$508-Inputs!$C$9,3),Inputs!$C$50,Inputs!$C$51,Inputs!$C$52),0)))</f>
        <v>1</v>
      </c>
      <c r="I514" s="21" t="n">
        <f aca="false">IF(OR(I$508&lt;=Inputs!$C$9,$C$496="renew"),1,IF($C$496="retrofit",IF(I$508-Inputs!$C$9=1,0,1),IF($C$496="relet",CHOOSE(MIN(I$508-Inputs!$C$9,3),Inputs!$C$50,Inputs!$C$51,Inputs!$C$52),0)))</f>
        <v>1</v>
      </c>
      <c r="J514" s="21" t="n">
        <f aca="false">IF(OR(J$508&lt;=Inputs!$C$9,$C$496="renew"),1,IF($C$496="retrofit",IF(J$508-Inputs!$C$9=1,0,1),IF($C$496="relet",CHOOSE(MIN(J$508-Inputs!$C$9,3),Inputs!$C$50,Inputs!$C$51,Inputs!$C$52),0)))</f>
        <v>1</v>
      </c>
      <c r="K514" s="21" t="n">
        <f aca="false">IF(OR(K$508&lt;=Inputs!$C$9,$C$496="renew"),1,IF($C$496="retrofit",IF(K$508-Inputs!$C$9=1,0,1),IF($C$496="relet",CHOOSE(MIN(K$508-Inputs!$C$9,3),Inputs!$C$50,Inputs!$C$51,Inputs!$C$52),0)))</f>
        <v>1</v>
      </c>
      <c r="L514" s="21" t="n">
        <f aca="false">IF(OR(L$508&lt;=Inputs!$C$9,$C$496="renew"),1,IF($C$496="retrofit",IF(L$508-Inputs!$C$9=1,0,1),IF($C$496="relet",CHOOSE(MIN(L$508-Inputs!$C$9,3),Inputs!$C$50,Inputs!$C$51,Inputs!$C$52),0)))</f>
        <v>1</v>
      </c>
      <c r="M514" s="21" t="n">
        <f aca="false">IF(OR(M$508&lt;=Inputs!$C$9,$C$496="renew"),1,IF($C$496="retrofit",IF(M$508-Inputs!$C$9=1,0,1),IF($C$496="relet",CHOOSE(MIN(M$508-Inputs!$C$9,3),Inputs!$C$50,Inputs!$C$51,Inputs!$C$52),0)))</f>
        <v>1</v>
      </c>
      <c r="N514" s="21" t="n">
        <f aca="false">IF(OR(N$508&lt;=Inputs!$C$9,$C$496="renew"),1,IF($C$496="retrofit",IF(N$508-Inputs!$C$9=1,0,1),IF($C$496="relet",CHOOSE(MIN(N$508-Inputs!$C$9,3),Inputs!$C$50,Inputs!$C$51,Inputs!$C$52),0)))</f>
        <v>1</v>
      </c>
      <c r="O514" s="21" t="n">
        <f aca="false">IF(OR(O$508&lt;=Inputs!$C$9,$C$496="renew"),1,IF($C$496="retrofit",IF(O$508-Inputs!$C$9=1,0,1),IF($C$496="relet",CHOOSE(MIN(O$508-Inputs!$C$9,3),Inputs!$C$50,Inputs!$C$51,Inputs!$C$52),0)))</f>
        <v>1</v>
      </c>
    </row>
    <row r="515" customFormat="false" ht="15" hidden="false" customHeight="false" outlineLevel="0" collapsed="false">
      <c r="B515" s="9" t="s">
        <v>148</v>
      </c>
      <c r="E515" s="28" t="n">
        <f aca="false">Inputs!$C$6*1000*E512*E514*8760/1000</f>
        <v>224256</v>
      </c>
      <c r="F515" s="28" t="n">
        <f aca="false">Inputs!$C$6*1000*F512*F514*8760/1000</f>
        <v>224256</v>
      </c>
      <c r="G515" s="28" t="n">
        <f aca="false">Inputs!$C$6*1000*G512*G514*8760/1000</f>
        <v>224256</v>
      </c>
      <c r="H515" s="28" t="n">
        <f aca="false">Inputs!$C$6*1000*H512*H514*8760/1000</f>
        <v>224256</v>
      </c>
      <c r="I515" s="28" t="n">
        <f aca="false">Inputs!$C$6*1000*I512*I514*8760/1000</f>
        <v>224256</v>
      </c>
      <c r="J515" s="28" t="n">
        <f aca="false">Inputs!$C$6*1000*J512*J514*8760/1000</f>
        <v>224256</v>
      </c>
      <c r="K515" s="28" t="n">
        <f aca="false">Inputs!$C$6*1000*K512*K514*8760/1000</f>
        <v>224256</v>
      </c>
      <c r="L515" s="28" t="n">
        <f aca="false">Inputs!$C$6*1000*L512*L514*8760/1000</f>
        <v>224256</v>
      </c>
      <c r="M515" s="28" t="n">
        <f aca="false">Inputs!$C$6*1000*M512*M514*8760/1000</f>
        <v>224256</v>
      </c>
      <c r="N515" s="28" t="n">
        <f aca="false">Inputs!$C$6*1000*N512*N514*8760/1000</f>
        <v>224256</v>
      </c>
      <c r="O515" s="28" t="n">
        <f aca="false">Inputs!$C$6*1000*O512*O514*8760/1000</f>
        <v>224256</v>
      </c>
    </row>
    <row r="516" customFormat="false" ht="15" hidden="false" customHeight="false" outlineLevel="0" collapsed="false">
      <c r="B516" s="9" t="s">
        <v>149</v>
      </c>
      <c r="E516" s="24" t="n">
        <f aca="false">IF(E$508&lt;=Inputs!$C$9,Inputs!$C$6*1000*Inputs!$C$7*12*(1+Inputs!$C$8)^(E$508-1)/1000000,IF($C$496="renew",$C$507*$C$504*(1+Inputs!$C$8)^(E$508-Inputs!$C$9-1),IF($C$496="retrofit",IF(E$508-Inputs!$C$9=1,0,Inputs!$C$6*1000*Inputs!$C$46*12*(1+Inputs!$C$8)^(E$508-Inputs!$C$9-2)/1000000),IF($C$496="relet",Inputs!$C$6*1000*E514*$C$505*12*(1+Inputs!$C$8)^(E$508-Inputs!$C$9-2)/1000000,0))))</f>
        <v>52.992</v>
      </c>
      <c r="F516" s="24" t="n">
        <f aca="false">IF(F$508&lt;=Inputs!$C$9,Inputs!$C$6*1000*Inputs!$C$7*12*(1+Inputs!$C$8)^(F$508-1)/1000000,IF($C$496="renew",$C$507*$C$504*(1+Inputs!$C$8)^(F$508-Inputs!$C$9-1),IF($C$496="retrofit",IF(F$508-Inputs!$C$9=1,0,Inputs!$C$6*1000*Inputs!$C$46*12*(1+Inputs!$C$8)^(F$508-Inputs!$C$9-2)/1000000),IF($C$496="relet",Inputs!$C$6*1000*F514*$C$505*12*(1+Inputs!$C$8)^(F$508-Inputs!$C$9-2)/1000000,0))))</f>
        <v>54.05184</v>
      </c>
      <c r="G516" s="24" t="n">
        <f aca="false">IF(G$508&lt;=Inputs!$C$9,Inputs!$C$6*1000*Inputs!$C$7*12*(1+Inputs!$C$8)^(G$508-1)/1000000,IF($C$496="renew",$C$507*$C$504*(1+Inputs!$C$8)^(G$508-Inputs!$C$9-1),IF($C$496="retrofit",IF(G$508-Inputs!$C$9=1,0,Inputs!$C$6*1000*Inputs!$C$46*12*(1+Inputs!$C$8)^(G$508-Inputs!$C$9-2)/1000000),IF($C$496="relet",Inputs!$C$6*1000*G514*$C$505*12*(1+Inputs!$C$8)^(G$508-Inputs!$C$9-2)/1000000,0))))</f>
        <v>55.1328768</v>
      </c>
      <c r="H516" s="24" t="n">
        <f aca="false">IF(H$508&lt;=Inputs!$C$9,Inputs!$C$6*1000*Inputs!$C$7*12*(1+Inputs!$C$8)^(H$508-1)/1000000,IF($C$496="renew",$C$507*$C$504*(1+Inputs!$C$8)^(H$508-Inputs!$C$9-1),IF($C$496="retrofit",IF(H$508-Inputs!$C$9=1,0,Inputs!$C$6*1000*Inputs!$C$46*12*(1+Inputs!$C$8)^(H$508-Inputs!$C$9-2)/1000000),IF($C$496="relet",Inputs!$C$6*1000*H514*$C$505*12*(1+Inputs!$C$8)^(H$508-Inputs!$C$9-2)/1000000,0))))</f>
        <v>56.235534336</v>
      </c>
      <c r="I516" s="24" t="n">
        <f aca="false">IF(I$508&lt;=Inputs!$C$9,Inputs!$C$6*1000*Inputs!$C$7*12*(1+Inputs!$C$8)^(I$508-1)/1000000,IF($C$496="renew",$C$507*$C$504*(1+Inputs!$C$8)^(I$508-Inputs!$C$9-1),IF($C$496="retrofit",IF(I$508-Inputs!$C$9=1,0,Inputs!$C$6*1000*Inputs!$C$46*12*(1+Inputs!$C$8)^(I$508-Inputs!$C$9-2)/1000000),IF($C$496="relet",Inputs!$C$6*1000*I514*$C$505*12*(1+Inputs!$C$8)^(I$508-Inputs!$C$9-2)/1000000,0))))</f>
        <v>57.36024502272</v>
      </c>
      <c r="J516" s="24" t="n">
        <f aca="false">IF(J$508&lt;=Inputs!$C$9,Inputs!$C$6*1000*Inputs!$C$7*12*(1+Inputs!$C$8)^(J$508-1)/1000000,IF($C$496="renew",$C$507*$C$504*(1+Inputs!$C$8)^(J$508-Inputs!$C$9-1),IF($C$496="retrofit",IF(J$508-Inputs!$C$9=1,0,Inputs!$C$6*1000*Inputs!$C$46*12*(1+Inputs!$C$8)^(J$508-Inputs!$C$9-2)/1000000),IF($C$496="relet",Inputs!$C$6*1000*J514*$C$505*12*(1+Inputs!$C$8)^(J$508-Inputs!$C$9-2)/1000000,0))))</f>
        <v>58.5074499231744</v>
      </c>
      <c r="K516" s="24" t="n">
        <f aca="false">IF(K$508&lt;=Inputs!$C$9,Inputs!$C$6*1000*Inputs!$C$7*12*(1+Inputs!$C$8)^(K$508-1)/1000000,IF($C$496="renew",$C$507*$C$504*(1+Inputs!$C$8)^(K$508-Inputs!$C$9-1),IF($C$496="retrofit",IF(K$508-Inputs!$C$9=1,0,Inputs!$C$6*1000*Inputs!$C$46*12*(1+Inputs!$C$8)^(K$508-Inputs!$C$9-2)/1000000),IF($C$496="relet",Inputs!$C$6*1000*K514*$C$505*12*(1+Inputs!$C$8)^(K$508-Inputs!$C$9-2)/1000000,0))))</f>
        <v>59.6775989216379</v>
      </c>
      <c r="L516" s="24" t="n">
        <f aca="false">IF(L$508&lt;=Inputs!$C$9,Inputs!$C$6*1000*Inputs!$C$7*12*(1+Inputs!$C$8)^(L$508-1)/1000000,IF($C$496="renew",$C$507*$C$504*(1+Inputs!$C$8)^(L$508-Inputs!$C$9-1),IF($C$496="retrofit",IF(L$508-Inputs!$C$9=1,0,Inputs!$C$6*1000*Inputs!$C$46*12*(1+Inputs!$C$8)^(L$508-Inputs!$C$9-2)/1000000),IF($C$496="relet",Inputs!$C$6*1000*L514*$C$505*12*(1+Inputs!$C$8)^(L$508-Inputs!$C$9-2)/1000000,0))))</f>
        <v>60.8711509000706</v>
      </c>
      <c r="M516" s="24" t="n">
        <f aca="false">IF(M$508&lt;=Inputs!$C$9,Inputs!$C$6*1000*Inputs!$C$7*12*(1+Inputs!$C$8)^(M$508-1)/1000000,IF($C$496="renew",$C$507*$C$504*(1+Inputs!$C$8)^(M$508-Inputs!$C$9-1),IF($C$496="retrofit",IF(M$508-Inputs!$C$9=1,0,Inputs!$C$6*1000*Inputs!$C$46*12*(1+Inputs!$C$8)^(M$508-Inputs!$C$9-2)/1000000),IF($C$496="relet",Inputs!$C$6*1000*M514*$C$505*12*(1+Inputs!$C$8)^(M$508-Inputs!$C$9-2)/1000000,0))))</f>
        <v>54.7840358100636</v>
      </c>
      <c r="N516" s="24" t="n">
        <f aca="false">IF(N$508&lt;=Inputs!$C$9,Inputs!$C$6*1000*Inputs!$C$7*12*(1+Inputs!$C$8)^(N$508-1)/1000000,IF($C$496="renew",$C$507*$C$504*(1+Inputs!$C$8)^(N$508-Inputs!$C$9-1),IF($C$496="retrofit",IF(N$508-Inputs!$C$9=1,0,Inputs!$C$6*1000*Inputs!$C$46*12*(1+Inputs!$C$8)^(N$508-Inputs!$C$9-2)/1000000),IF($C$496="relet",Inputs!$C$6*1000*N514*$C$505*12*(1+Inputs!$C$8)^(N$508-Inputs!$C$9-2)/1000000,0))))</f>
        <v>55.8797165262649</v>
      </c>
      <c r="O516" s="24" t="n">
        <f aca="false">IF(O$508&lt;=Inputs!$C$9,Inputs!$C$6*1000*Inputs!$C$7*12*(1+Inputs!$C$8)^(O$508-1)/1000000,IF($C$496="renew",$C$507*$C$504*(1+Inputs!$C$8)^(O$508-Inputs!$C$9-1),IF($C$496="retrofit",IF(O$508-Inputs!$C$9=1,0,Inputs!$C$6*1000*Inputs!$C$46*12*(1+Inputs!$C$8)^(O$508-Inputs!$C$9-2)/1000000),IF($C$496="relet",Inputs!$C$6*1000*O514*$C$505*12*(1+Inputs!$C$8)^(O$508-Inputs!$C$9-2)/1000000,0))))</f>
        <v>56.9973108567902</v>
      </c>
    </row>
    <row r="517" customFormat="false" ht="15" hidden="false" customHeight="false" outlineLevel="0" collapsed="false">
      <c r="B517" s="9" t="s">
        <v>150</v>
      </c>
      <c r="E517" s="24" t="n">
        <f aca="false">IF(OR(E$508&lt;=Inputs!$C$9,$C$496="renew"),E515*(Inputs!$C$17*E510-E513*E509)/1000000,E515*E513*Inputs!$C$27/1000000)</f>
        <v>2.4219648</v>
      </c>
      <c r="F517" s="24" t="n">
        <f aca="false">IF(OR(F$508&lt;=Inputs!$C$9,$C$496="renew"),F515*(Inputs!$C$17*F510-F513*F509)/1000000,F515*F513*Inputs!$C$27/1000000)</f>
        <v>2.853433344</v>
      </c>
      <c r="G517" s="24" t="n">
        <f aca="false">IF(OR(G$508&lt;=Inputs!$C$9,$C$496="renew"),G515*(Inputs!$C$17*G510-G513*G509)/1000000,G515*G513*Inputs!$C$27/1000000)</f>
        <v>3.29353125888</v>
      </c>
      <c r="H517" s="24" t="n">
        <f aca="false">IF(OR(H$508&lt;=Inputs!$C$9,$C$496="renew"),H515*(Inputs!$C$17*H510-H513*H509)/1000000,H515*H513*Inputs!$C$27/1000000)</f>
        <v>3.74243113205761</v>
      </c>
      <c r="I517" s="24" t="n">
        <f aca="false">IF(OR(I$508&lt;=Inputs!$C$9,$C$496="renew"),I515*(Inputs!$C$17*I510-I513*I509)/1000000,I515*I513*Inputs!$C$27/1000000)</f>
        <v>-6.09752651730125</v>
      </c>
      <c r="J517" s="24" t="n">
        <f aca="false">IF(OR(J$508&lt;=Inputs!$C$9,$C$496="renew"),J515*(Inputs!$C$17*J510-J513*J509)/1000000,J515*J513*Inputs!$C$27/1000000)</f>
        <v>-6.36672353724727</v>
      </c>
      <c r="K517" s="24" t="n">
        <f aca="false">IF(OR(K$508&lt;=Inputs!$C$9,$C$496="renew"),K515*(Inputs!$C$17*K510-K513*K509)/1000000,K515*K513*Inputs!$C$27/1000000)</f>
        <v>-6.64498565983221</v>
      </c>
      <c r="L517" s="24" t="n">
        <f aca="false">IF(OR(L$508&lt;=Inputs!$C$9,$C$496="renew"),L515*(Inputs!$C$17*L510-L513*L509)/1000000,L515*L513*Inputs!$C$27/1000000)</f>
        <v>-6.93258621616485</v>
      </c>
      <c r="M517" s="24" t="n">
        <f aca="false">IF(OR(M$508&lt;=Inputs!$C$9,$C$496="renew"),M515*(Inputs!$C$17*M510-M513*M509)/1000000,M515*M513*Inputs!$C$27/1000000)</f>
        <v>-7.22980630470254</v>
      </c>
      <c r="N517" s="24" t="n">
        <f aca="false">IF(OR(N$508&lt;=Inputs!$C$9,$C$496="renew"),N515*(Inputs!$C$17*N510-N513*N509)/1000000,N515*N513*Inputs!$C$27/1000000)</f>
        <v>-7.53693500411634</v>
      </c>
      <c r="O517" s="24" t="n">
        <f aca="false">IF(OR(O$508&lt;=Inputs!$C$9,$C$496="renew"),O515*(Inputs!$C$17*O510-O513*O509)/1000000,O515*O513*Inputs!$C$27/1000000)</f>
        <v>-7.85426959185143</v>
      </c>
    </row>
    <row r="518" customFormat="false" ht="15" hidden="false" customHeight="false" outlineLevel="0" collapsed="false">
      <c r="B518" s="9" t="s">
        <v>151</v>
      </c>
      <c r="E518" s="24" t="n">
        <f aca="false">Inputs!$C$10*E511*IF(OR(E$508&lt;=Inputs!$C$9,$C$496="renew"),1,IF($C$496="retrofit",IF(E$508-Inputs!$C$9=1,Inputs!$C$48,1),IF($C$496="relet",Inputs!$C$54,Inputs!$C$56)))</f>
        <v>4.1</v>
      </c>
      <c r="F518" s="24" t="n">
        <f aca="false">Inputs!$C$10*F511*IF(OR(F$508&lt;=Inputs!$C$9,$C$496="renew"),1,IF($C$496="retrofit",IF(F$508-Inputs!$C$9=1,Inputs!$C$48,1),IF($C$496="relet",Inputs!$C$54,Inputs!$C$56)))</f>
        <v>4.223</v>
      </c>
      <c r="G518" s="24" t="n">
        <f aca="false">Inputs!$C$10*G511*IF(OR(G$508&lt;=Inputs!$C$9,$C$496="renew"),1,IF($C$496="retrofit",IF(G$508-Inputs!$C$9=1,Inputs!$C$48,1),IF($C$496="relet",Inputs!$C$54,Inputs!$C$56)))</f>
        <v>4.34969</v>
      </c>
      <c r="H518" s="24" t="n">
        <f aca="false">Inputs!$C$10*H511*IF(OR(H$508&lt;=Inputs!$C$9,$C$496="renew"),1,IF($C$496="retrofit",IF(H$508-Inputs!$C$9=1,Inputs!$C$48,1),IF($C$496="relet",Inputs!$C$54,Inputs!$C$56)))</f>
        <v>4.4801807</v>
      </c>
      <c r="I518" s="24" t="n">
        <f aca="false">Inputs!$C$10*I511*IF(OR(I$508&lt;=Inputs!$C$9,$C$496="renew"),1,IF($C$496="retrofit",IF(I$508-Inputs!$C$9=1,Inputs!$C$48,1),IF($C$496="relet",Inputs!$C$54,Inputs!$C$56)))</f>
        <v>4.614586121</v>
      </c>
      <c r="J518" s="24" t="n">
        <f aca="false">Inputs!$C$10*J511*IF(OR(J$508&lt;=Inputs!$C$9,$C$496="renew"),1,IF($C$496="retrofit",IF(J$508-Inputs!$C$9=1,Inputs!$C$48,1),IF($C$496="relet",Inputs!$C$54,Inputs!$C$56)))</f>
        <v>4.75302370463</v>
      </c>
      <c r="K518" s="24" t="n">
        <f aca="false">Inputs!$C$10*K511*IF(OR(K$508&lt;=Inputs!$C$9,$C$496="renew"),1,IF($C$496="retrofit",IF(K$508-Inputs!$C$9=1,Inputs!$C$48,1),IF($C$496="relet",Inputs!$C$54,Inputs!$C$56)))</f>
        <v>4.8956144157689</v>
      </c>
      <c r="L518" s="24" t="n">
        <f aca="false">Inputs!$C$10*L511*IF(OR(L$508&lt;=Inputs!$C$9,$C$496="renew"),1,IF($C$496="retrofit",IF(L$508-Inputs!$C$9=1,Inputs!$C$48,1),IF($C$496="relet",Inputs!$C$54,Inputs!$C$56)))</f>
        <v>5.04248284824197</v>
      </c>
      <c r="M518" s="24" t="n">
        <f aca="false">Inputs!$C$10*M511*IF(OR(M$508&lt;=Inputs!$C$9,$C$496="renew"),1,IF($C$496="retrofit",IF(M$508-Inputs!$C$9=1,Inputs!$C$48,1),IF($C$496="relet",Inputs!$C$54,Inputs!$C$56)))</f>
        <v>5.19375733368923</v>
      </c>
      <c r="N518" s="24" t="n">
        <f aca="false">Inputs!$C$10*N511*IF(OR(N$508&lt;=Inputs!$C$9,$C$496="renew"),1,IF($C$496="retrofit",IF(N$508-Inputs!$C$9=1,Inputs!$C$48,1),IF($C$496="relet",Inputs!$C$54,Inputs!$C$56)))</f>
        <v>5.3495700536999</v>
      </c>
      <c r="O518" s="24" t="n">
        <f aca="false">Inputs!$C$10*O511*IF(OR(O$508&lt;=Inputs!$C$9,$C$496="renew"),1,IF($C$496="retrofit",IF(O$508-Inputs!$C$9=1,Inputs!$C$48,1),IF($C$496="relet",Inputs!$C$54,Inputs!$C$56)))</f>
        <v>5.5100571553109</v>
      </c>
    </row>
    <row r="519" customFormat="false" ht="15" hidden="false" customHeight="false" outlineLevel="0" collapsed="false">
      <c r="B519" s="9" t="s">
        <v>152</v>
      </c>
      <c r="E519" s="24" t="n">
        <f aca="false">IF(E$508&gt;=$C$498,Inputs!$C$30*1000*Inputs!$C$34*12*(1+Inputs!$C$8)^(E$508-$C$498)/1000000*IF(AND(E$508=$C$498,$C$498&gt;Inputs!$C$33),1-MIN(12,Inputs!$C$35*($C$498-Inputs!$C$33)*12)/12,1),0)</f>
        <v>0</v>
      </c>
      <c r="F519" s="24" t="n">
        <f aca="false">IF(F$508&gt;=$C$498,Inputs!$C$30*1000*Inputs!$C$34*12*(1+Inputs!$C$8)^(F$508-$C$498)/1000000*IF(AND(F$508=$C$498,$C$498&gt;Inputs!$C$33),1-MIN(12,Inputs!$C$35*($C$498-Inputs!$C$33)*12)/12,1),0)</f>
        <v>0</v>
      </c>
      <c r="G519" s="24" t="n">
        <f aca="false">IF(G$508&gt;=$C$498,Inputs!$C$30*1000*Inputs!$C$34*12*(1+Inputs!$C$8)^(G$508-$C$498)/1000000*IF(AND(G$508=$C$498,$C$498&gt;Inputs!$C$33),1-MIN(12,Inputs!$C$35*($C$498-Inputs!$C$33)*12)/12,1),0)</f>
        <v>29.184</v>
      </c>
      <c r="H519" s="24" t="n">
        <f aca="false">IF(H$508&gt;=$C$498,Inputs!$C$30*1000*Inputs!$C$34*12*(1+Inputs!$C$8)^(H$508-$C$498)/1000000*IF(AND(H$508=$C$498,$C$498&gt;Inputs!$C$33),1-MIN(12,Inputs!$C$35*($C$498-Inputs!$C$33)*12)/12,1),0)</f>
        <v>29.76768</v>
      </c>
      <c r="I519" s="24" t="n">
        <f aca="false">IF(I$508&gt;=$C$498,Inputs!$C$30*1000*Inputs!$C$34*12*(1+Inputs!$C$8)^(I$508-$C$498)/1000000*IF(AND(I$508=$C$498,$C$498&gt;Inputs!$C$33),1-MIN(12,Inputs!$C$35*($C$498-Inputs!$C$33)*12)/12,1),0)</f>
        <v>30.3630336</v>
      </c>
      <c r="J519" s="24" t="n">
        <f aca="false">IF(J$508&gt;=$C$498,Inputs!$C$30*1000*Inputs!$C$34*12*(1+Inputs!$C$8)^(J$508-$C$498)/1000000*IF(AND(J$508=$C$498,$C$498&gt;Inputs!$C$33),1-MIN(12,Inputs!$C$35*($C$498-Inputs!$C$33)*12)/12,1),0)</f>
        <v>30.970294272</v>
      </c>
      <c r="K519" s="24" t="n">
        <f aca="false">IF(K$508&gt;=$C$498,Inputs!$C$30*1000*Inputs!$C$34*12*(1+Inputs!$C$8)^(K$508-$C$498)/1000000*IF(AND(K$508=$C$498,$C$498&gt;Inputs!$C$33),1-MIN(12,Inputs!$C$35*($C$498-Inputs!$C$33)*12)/12,1),0)</f>
        <v>31.58970015744</v>
      </c>
      <c r="L519" s="24" t="n">
        <f aca="false">IF(L$508&gt;=$C$498,Inputs!$C$30*1000*Inputs!$C$34*12*(1+Inputs!$C$8)^(L$508-$C$498)/1000000*IF(AND(L$508=$C$498,$C$498&gt;Inputs!$C$33),1-MIN(12,Inputs!$C$35*($C$498-Inputs!$C$33)*12)/12,1),0)</f>
        <v>32.2214941605888</v>
      </c>
      <c r="M519" s="24" t="n">
        <f aca="false">IF(M$508&gt;=$C$498,Inputs!$C$30*1000*Inputs!$C$34*12*(1+Inputs!$C$8)^(M$508-$C$498)/1000000*IF(AND(M$508=$C$498,$C$498&gt;Inputs!$C$33),1-MIN(12,Inputs!$C$35*($C$498-Inputs!$C$33)*12)/12,1),0)</f>
        <v>32.8659240438006</v>
      </c>
      <c r="N519" s="24" t="n">
        <f aca="false">IF(N$508&gt;=$C$498,Inputs!$C$30*1000*Inputs!$C$34*12*(1+Inputs!$C$8)^(N$508-$C$498)/1000000*IF(AND(N$508=$C$498,$C$498&gt;Inputs!$C$33),1-MIN(12,Inputs!$C$35*($C$498-Inputs!$C$33)*12)/12,1),0)</f>
        <v>33.5232425246766</v>
      </c>
      <c r="O519" s="24" t="n">
        <f aca="false">IF(O$508&gt;=$C$498,Inputs!$C$30*1000*Inputs!$C$34*12*(1+Inputs!$C$8)^(O$508-$C$498)/1000000*IF(AND(O$508=$C$498,$C$498&gt;Inputs!$C$33),1-MIN(12,Inputs!$C$35*($C$498-Inputs!$C$33)*12)/12,1),0)</f>
        <v>34.1937073751701</v>
      </c>
    </row>
    <row r="520" customFormat="false" ht="15" hidden="false" customHeight="false" outlineLevel="0" collapsed="false">
      <c r="B520" s="9" t="s">
        <v>153</v>
      </c>
      <c r="E520" s="28" t="n">
        <f aca="false">IF(E$508&gt;=$C$498,Inputs!$C$30*1000*Inputs!$C$16*8760/1000,0)</f>
        <v>0</v>
      </c>
      <c r="F520" s="28" t="n">
        <f aca="false">IF(F$508&gt;=$C$498,Inputs!$C$30*1000*Inputs!$C$16*8760/1000,0)</f>
        <v>0</v>
      </c>
      <c r="G520" s="28" t="n">
        <f aca="false">IF(G$508&gt;=$C$498,Inputs!$C$30*1000*Inputs!$C$16*8760/1000,0)</f>
        <v>112128</v>
      </c>
      <c r="H520" s="28" t="n">
        <f aca="false">IF(H$508&gt;=$C$498,Inputs!$C$30*1000*Inputs!$C$16*8760/1000,0)</f>
        <v>112128</v>
      </c>
      <c r="I520" s="28" t="n">
        <f aca="false">IF(I$508&gt;=$C$498,Inputs!$C$30*1000*Inputs!$C$16*8760/1000,0)</f>
        <v>112128</v>
      </c>
      <c r="J520" s="28" t="n">
        <f aca="false">IF(J$508&gt;=$C$498,Inputs!$C$30*1000*Inputs!$C$16*8760/1000,0)</f>
        <v>112128</v>
      </c>
      <c r="K520" s="28" t="n">
        <f aca="false">IF(K$508&gt;=$C$498,Inputs!$C$30*1000*Inputs!$C$16*8760/1000,0)</f>
        <v>112128</v>
      </c>
      <c r="L520" s="28" t="n">
        <f aca="false">IF(L$508&gt;=$C$498,Inputs!$C$30*1000*Inputs!$C$16*8760/1000,0)</f>
        <v>112128</v>
      </c>
      <c r="M520" s="28" t="n">
        <f aca="false">IF(M$508&gt;=$C$498,Inputs!$C$30*1000*Inputs!$C$16*8760/1000,0)</f>
        <v>112128</v>
      </c>
      <c r="N520" s="28" t="n">
        <f aca="false">IF(N$508&gt;=$C$498,Inputs!$C$30*1000*Inputs!$C$16*8760/1000,0)</f>
        <v>112128</v>
      </c>
      <c r="O520" s="28" t="n">
        <f aca="false">IF(O$508&gt;=$C$498,Inputs!$C$30*1000*Inputs!$C$16*8760/1000,0)</f>
        <v>112128</v>
      </c>
    </row>
    <row r="521" customFormat="false" ht="15" hidden="false" customHeight="false" outlineLevel="0" collapsed="false">
      <c r="B521" s="9" t="s">
        <v>154</v>
      </c>
      <c r="E521" s="24" t="n">
        <f aca="false">E520*Inputs!$C$37*Inputs!$C$27/1000000</f>
        <v>0</v>
      </c>
      <c r="F521" s="24" t="n">
        <f aca="false">F520*Inputs!$C$37*Inputs!$C$27/1000000</f>
        <v>0</v>
      </c>
      <c r="G521" s="24" t="n">
        <f aca="false">G520*Inputs!$C$37*Inputs!$C$27/1000000</f>
        <v>0.4036608</v>
      </c>
      <c r="H521" s="24" t="n">
        <f aca="false">H520*Inputs!$C$37*Inputs!$C$27/1000000</f>
        <v>0.4036608</v>
      </c>
      <c r="I521" s="24" t="n">
        <f aca="false">I520*Inputs!$C$37*Inputs!$C$27/1000000</f>
        <v>0.4036608</v>
      </c>
      <c r="J521" s="24" t="n">
        <f aca="false">J520*Inputs!$C$37*Inputs!$C$27/1000000</f>
        <v>0.4036608</v>
      </c>
      <c r="K521" s="24" t="n">
        <f aca="false">K520*Inputs!$C$37*Inputs!$C$27/1000000</f>
        <v>0.4036608</v>
      </c>
      <c r="L521" s="24" t="n">
        <f aca="false">L520*Inputs!$C$37*Inputs!$C$27/1000000</f>
        <v>0.4036608</v>
      </c>
      <c r="M521" s="24" t="n">
        <f aca="false">M520*Inputs!$C$37*Inputs!$C$27/1000000</f>
        <v>0.4036608</v>
      </c>
      <c r="N521" s="24" t="n">
        <f aca="false">N520*Inputs!$C$37*Inputs!$C$27/1000000</f>
        <v>0.4036608</v>
      </c>
      <c r="O521" s="24" t="n">
        <f aca="false">O520*Inputs!$C$37*Inputs!$C$27/1000000</f>
        <v>0.4036608</v>
      </c>
    </row>
    <row r="522" customFormat="false" ht="15" hidden="false" customHeight="false" outlineLevel="0" collapsed="false">
      <c r="B522" s="9" t="s">
        <v>155</v>
      </c>
      <c r="E522" s="24" t="n">
        <f aca="false">IF(E$508&gt;=$C$498,Inputs!$C$38*E511,0)</f>
        <v>0</v>
      </c>
      <c r="F522" s="24" t="n">
        <f aca="false">IF(F$508&gt;=$C$498,Inputs!$C$38*F511,0)</f>
        <v>0</v>
      </c>
      <c r="G522" s="24" t="n">
        <f aca="false">IF(G$508&gt;=$C$498,Inputs!$C$38*G511,0)</f>
        <v>1.69744</v>
      </c>
      <c r="H522" s="24" t="n">
        <f aca="false">IF(H$508&gt;=$C$498,Inputs!$C$38*H511,0)</f>
        <v>1.7483632</v>
      </c>
      <c r="I522" s="24" t="n">
        <f aca="false">IF(I$508&gt;=$C$498,Inputs!$C$38*I511,0)</f>
        <v>1.800814096</v>
      </c>
      <c r="J522" s="24" t="n">
        <f aca="false">IF(J$508&gt;=$C$498,Inputs!$C$38*J511,0)</f>
        <v>1.85483851888</v>
      </c>
      <c r="K522" s="24" t="n">
        <f aca="false">IF(K$508&gt;=$C$498,Inputs!$C$38*K511,0)</f>
        <v>1.9104836744464</v>
      </c>
      <c r="L522" s="24" t="n">
        <f aca="false">IF(L$508&gt;=$C$498,Inputs!$C$38*L511,0)</f>
        <v>1.96779818467979</v>
      </c>
      <c r="M522" s="24" t="n">
        <f aca="false">IF(M$508&gt;=$C$498,Inputs!$C$38*M511,0)</f>
        <v>2.02683213022019</v>
      </c>
      <c r="N522" s="24" t="n">
        <f aca="false">IF(N$508&gt;=$C$498,Inputs!$C$38*N511,0)</f>
        <v>2.08763709412679</v>
      </c>
      <c r="O522" s="24" t="n">
        <f aca="false">IF(O$508&gt;=$C$498,Inputs!$C$38*O511,0)</f>
        <v>2.1502662069506</v>
      </c>
    </row>
    <row r="523" customFormat="false" ht="15" hidden="false" customHeight="false" outlineLevel="0" collapsed="false">
      <c r="B523" s="9" t="s">
        <v>156</v>
      </c>
      <c r="E523" s="24" t="n">
        <f aca="false">Inputs!$C$12*(E516+E519)</f>
        <v>0.52992</v>
      </c>
      <c r="F523" s="24" t="n">
        <f aca="false">Inputs!$C$12*(F516+F519)</f>
        <v>0.5405184</v>
      </c>
      <c r="G523" s="24" t="n">
        <f aca="false">Inputs!$C$12*(G516+G519)</f>
        <v>0.843168768</v>
      </c>
      <c r="H523" s="24" t="n">
        <f aca="false">Inputs!$C$12*(H516+H519)</f>
        <v>0.86003214336</v>
      </c>
      <c r="I523" s="24" t="n">
        <f aca="false">Inputs!$C$12*(I516+I519)</f>
        <v>0.8772327862272</v>
      </c>
      <c r="J523" s="24" t="n">
        <f aca="false">Inputs!$C$12*(J516+J519)</f>
        <v>0.894777441951744</v>
      </c>
      <c r="K523" s="24" t="n">
        <f aca="false">Inputs!$C$12*(K516+K519)</f>
        <v>0.912672990790779</v>
      </c>
      <c r="L523" s="24" t="n">
        <f aca="false">Inputs!$C$12*(L516+L519)</f>
        <v>0.930926450606595</v>
      </c>
      <c r="M523" s="24" t="n">
        <f aca="false">Inputs!$C$12*(M516+M519)</f>
        <v>0.876499598538642</v>
      </c>
      <c r="N523" s="24" t="n">
        <f aca="false">Inputs!$C$12*(N516+N519)</f>
        <v>0.894029590509414</v>
      </c>
      <c r="O523" s="24" t="n">
        <f aca="false">Inputs!$C$12*(O516+O519)</f>
        <v>0.911910182319603</v>
      </c>
    </row>
    <row r="524" customFormat="false" ht="15" hidden="false" customHeight="false" outlineLevel="0" collapsed="false">
      <c r="B524" s="29" t="s">
        <v>157</v>
      </c>
      <c r="E524" s="30" t="n">
        <f aca="false">E516+E517+E519+E521-E518-E522-E523</f>
        <v>50.7840448</v>
      </c>
      <c r="F524" s="30" t="n">
        <f aca="false">F516+F517+F519+F521-F518-F522-F523</f>
        <v>52.141754944</v>
      </c>
      <c r="G524" s="30" t="n">
        <f aca="false">G516+G517+G519+G521-G518-G522-G523</f>
        <v>81.12377009088</v>
      </c>
      <c r="H524" s="30" t="n">
        <f aca="false">H516+H517+H519+H521-H518-H522-H523</f>
        <v>83.0607302246976</v>
      </c>
      <c r="I524" s="30" t="n">
        <f aca="false">I516+I517+I519+I521-I518-I522-I523</f>
        <v>74.7367799021916</v>
      </c>
      <c r="J524" s="30" t="n">
        <f aca="false">J516+J517+J519+J521-J518-J522-J523</f>
        <v>76.0120417924654</v>
      </c>
      <c r="K524" s="30" t="n">
        <f aca="false">K516+K517+K519+K521-K518-K522-K523</f>
        <v>77.3072031382396</v>
      </c>
      <c r="L524" s="30" t="n">
        <f aca="false">L516+L517+L519+L521-L518-L522-L523</f>
        <v>78.6225121609663</v>
      </c>
      <c r="M524" s="30" t="n">
        <f aca="false">M516+M517+M519+M521-M518-M522-M523</f>
        <v>72.7267252867136</v>
      </c>
      <c r="N524" s="30" t="n">
        <f aca="false">N516+N517+N519+N521-N518-N522-N523</f>
        <v>73.938448108489</v>
      </c>
      <c r="O524" s="30" t="n">
        <f aca="false">O516+O517+O519+O521-O518-O522-O523</f>
        <v>75.1681758955278</v>
      </c>
    </row>
    <row r="525" customFormat="false" ht="15" hidden="false" customHeight="false" outlineLevel="0" collapsed="false">
      <c r="B525" s="9" t="s">
        <v>158</v>
      </c>
      <c r="E525" s="24" t="n">
        <f aca="false">Inputs!$C$13*E511*IF(AND($C$496="stranded",E$508&gt;Inputs!$C$9),Inputs!$C$56,1)+IF(E$508&gt;=$C$498,Inputs!$C$39*E511,0)</f>
        <v>1.3</v>
      </c>
      <c r="F525" s="24" t="n">
        <f aca="false">Inputs!$C$13*F511*IF(AND($C$496="stranded",F$508&gt;Inputs!$C$9),Inputs!$C$56,1)+IF(F$508&gt;=$C$498,Inputs!$C$39*F511,0)</f>
        <v>1.339</v>
      </c>
      <c r="G525" s="24" t="n">
        <f aca="false">Inputs!$C$13*G511*IF(AND($C$496="stranded",G$508&gt;Inputs!$C$9),Inputs!$C$56,1)+IF(G$508&gt;=$C$498,Inputs!$C$39*G511,0)</f>
        <v>1.90962</v>
      </c>
      <c r="H525" s="24" t="n">
        <f aca="false">Inputs!$C$13*H511*IF(AND($C$496="stranded",H$508&gt;Inputs!$C$9),Inputs!$C$56,1)+IF(H$508&gt;=$C$498,Inputs!$C$39*H511,0)</f>
        <v>1.9669086</v>
      </c>
      <c r="I525" s="24" t="n">
        <f aca="false">Inputs!$C$13*I511*IF(AND($C$496="stranded",I$508&gt;Inputs!$C$9),Inputs!$C$56,1)+IF(I$508&gt;=$C$498,Inputs!$C$39*I511,0)</f>
        <v>2.025915858</v>
      </c>
      <c r="J525" s="24" t="n">
        <f aca="false">Inputs!$C$13*J511*IF(AND($C$496="stranded",J$508&gt;Inputs!$C$9),Inputs!$C$56,1)+IF(J$508&gt;=$C$498,Inputs!$C$39*J511,0)</f>
        <v>2.08669333374</v>
      </c>
      <c r="K525" s="24" t="n">
        <f aca="false">Inputs!$C$13*K511*IF(AND($C$496="stranded",K$508&gt;Inputs!$C$9),Inputs!$C$56,1)+IF(K$508&gt;=$C$498,Inputs!$C$39*K511,0)</f>
        <v>2.1492941337522</v>
      </c>
      <c r="L525" s="24" t="n">
        <f aca="false">Inputs!$C$13*L511*IF(AND($C$496="stranded",L$508&gt;Inputs!$C$9),Inputs!$C$56,1)+IF(L$508&gt;=$C$498,Inputs!$C$39*L511,0)</f>
        <v>2.21377295776477</v>
      </c>
      <c r="M525" s="24" t="n">
        <f aca="false">Inputs!$C$13*M511*IF(AND($C$496="stranded",M$508&gt;Inputs!$C$9),Inputs!$C$56,1)+IF(M$508&gt;=$C$498,Inputs!$C$39*M511,0)</f>
        <v>2.28018614649771</v>
      </c>
      <c r="N525" s="24" t="n">
        <f aca="false">Inputs!$C$13*N511*IF(AND($C$496="stranded",N$508&gt;Inputs!$C$9),Inputs!$C$56,1)+IF(N$508&gt;=$C$498,Inputs!$C$39*N511,0)</f>
        <v>2.34859173089264</v>
      </c>
      <c r="O525" s="24" t="n">
        <f aca="false">Inputs!$C$13*O511*IF(AND($C$496="stranded",O$508&gt;Inputs!$C$9),Inputs!$C$56,1)+IF(O$508&gt;=$C$498,Inputs!$C$39*O511,0)</f>
        <v>2.41904948281942</v>
      </c>
    </row>
    <row r="526" customFormat="false" ht="15" hidden="false" customHeight="false" outlineLevel="0" collapsed="false">
      <c r="B526" s="9" t="s">
        <v>159</v>
      </c>
      <c r="E526" s="24" t="n">
        <f aca="false">IF(OR(E$508=1,E$508=2),Inputs!$C$31*Inputs!$C$30/2,0)+IF(AND(E$508=2,$C$498&gt;Inputs!$C$33),Inputs!$C$31*Inputs!$C$30*Inputs!$C$36*($C$498-Inputs!$C$33),0)</f>
        <v>84</v>
      </c>
      <c r="F526" s="24" t="n">
        <f aca="false">IF(OR(F$508=1,F$508=2),Inputs!$C$31*Inputs!$C$30/2,0)+IF(AND(F$508=2,$C$498&gt;Inputs!$C$33),Inputs!$C$31*Inputs!$C$30*Inputs!$C$36*($C$498-Inputs!$C$33),0)</f>
        <v>84</v>
      </c>
      <c r="G526" s="24" t="n">
        <f aca="false">IF(OR(G$508=1,G$508=2),Inputs!$C$31*Inputs!$C$30/2,0)+IF(AND(G$508=2,$C$498&gt;Inputs!$C$33),Inputs!$C$31*Inputs!$C$30*Inputs!$C$36*($C$498-Inputs!$C$33),0)</f>
        <v>0</v>
      </c>
      <c r="H526" s="24" t="n">
        <f aca="false">IF(OR(H$508=1,H$508=2),Inputs!$C$31*Inputs!$C$30/2,0)+IF(AND(H$508=2,$C$498&gt;Inputs!$C$33),Inputs!$C$31*Inputs!$C$30*Inputs!$C$36*($C$498-Inputs!$C$33),0)</f>
        <v>0</v>
      </c>
      <c r="I526" s="24" t="n">
        <f aca="false">IF(OR(I$508=1,I$508=2),Inputs!$C$31*Inputs!$C$30/2,0)+IF(AND(I$508=2,$C$498&gt;Inputs!$C$33),Inputs!$C$31*Inputs!$C$30*Inputs!$C$36*($C$498-Inputs!$C$33),0)</f>
        <v>0</v>
      </c>
      <c r="J526" s="24" t="n">
        <f aca="false">IF(OR(J$508=1,J$508=2),Inputs!$C$31*Inputs!$C$30/2,0)+IF(AND(J$508=2,$C$498&gt;Inputs!$C$33),Inputs!$C$31*Inputs!$C$30*Inputs!$C$36*($C$498-Inputs!$C$33),0)</f>
        <v>0</v>
      </c>
      <c r="K526" s="24" t="n">
        <f aca="false">IF(OR(K$508=1,K$508=2),Inputs!$C$31*Inputs!$C$30/2,0)+IF(AND(K$508=2,$C$498&gt;Inputs!$C$33),Inputs!$C$31*Inputs!$C$30*Inputs!$C$36*($C$498-Inputs!$C$33),0)</f>
        <v>0</v>
      </c>
      <c r="L526" s="24" t="n">
        <f aca="false">IF(OR(L$508=1,L$508=2),Inputs!$C$31*Inputs!$C$30/2,0)+IF(AND(L$508=2,$C$498&gt;Inputs!$C$33),Inputs!$C$31*Inputs!$C$30*Inputs!$C$36*($C$498-Inputs!$C$33),0)</f>
        <v>0</v>
      </c>
      <c r="M526" s="24" t="n">
        <f aca="false">IF(OR(M$508=1,M$508=2),Inputs!$C$31*Inputs!$C$30/2,0)+IF(AND(M$508=2,$C$498&gt;Inputs!$C$33),Inputs!$C$31*Inputs!$C$30*Inputs!$C$36*($C$498-Inputs!$C$33),0)</f>
        <v>0</v>
      </c>
      <c r="N526" s="24" t="n">
        <f aca="false">IF(OR(N$508=1,N$508=2),Inputs!$C$31*Inputs!$C$30/2,0)+IF(AND(N$508=2,$C$498&gt;Inputs!$C$33),Inputs!$C$31*Inputs!$C$30*Inputs!$C$36*($C$498-Inputs!$C$33),0)</f>
        <v>0</v>
      </c>
      <c r="O526" s="24" t="n">
        <f aca="false">IF(OR(O$508=1,O$508=2),Inputs!$C$31*Inputs!$C$30/2,0)+IF(AND(O$508=2,$C$498&gt;Inputs!$C$33),Inputs!$C$31*Inputs!$C$30*Inputs!$C$36*($C$498-Inputs!$C$33),0)</f>
        <v>0</v>
      </c>
    </row>
    <row r="527" customFormat="false" ht="15" hidden="false" customHeight="false" outlineLevel="0" collapsed="false">
      <c r="B527" s="9" t="s">
        <v>160</v>
      </c>
      <c r="E527" s="24" t="n">
        <f aca="false">IF(E$508=Inputs!$C$9+1,Inputs!$C$6*IF($C$496="renew",Inputs!$C$44,IF($C$496="retrofit",Inputs!$C$45,IF($C$496="relet",Inputs!$C$55,0))),0)</f>
        <v>0</v>
      </c>
      <c r="F527" s="24" t="n">
        <f aca="false">IF(F$508=Inputs!$C$9+1,Inputs!$C$6*IF($C$496="renew",Inputs!$C$44,IF($C$496="retrofit",Inputs!$C$45,IF($C$496="relet",Inputs!$C$55,0))),0)</f>
        <v>0</v>
      </c>
      <c r="G527" s="24" t="n">
        <f aca="false">IF(G$508=Inputs!$C$9+1,Inputs!$C$6*IF($C$496="renew",Inputs!$C$44,IF($C$496="retrofit",Inputs!$C$45,IF($C$496="relet",Inputs!$C$55,0))),0)</f>
        <v>0</v>
      </c>
      <c r="H527" s="24" t="n">
        <f aca="false">IF(H$508=Inputs!$C$9+1,Inputs!$C$6*IF($C$496="renew",Inputs!$C$44,IF($C$496="retrofit",Inputs!$C$45,IF($C$496="relet",Inputs!$C$55,0))),0)</f>
        <v>0</v>
      </c>
      <c r="I527" s="24" t="n">
        <f aca="false">IF(I$508=Inputs!$C$9+1,Inputs!$C$6*IF($C$496="renew",Inputs!$C$44,IF($C$496="retrofit",Inputs!$C$45,IF($C$496="relet",Inputs!$C$55,0))),0)</f>
        <v>0</v>
      </c>
      <c r="J527" s="24" t="n">
        <f aca="false">IF(J$508=Inputs!$C$9+1,Inputs!$C$6*IF($C$496="renew",Inputs!$C$44,IF($C$496="retrofit",Inputs!$C$45,IF($C$496="relet",Inputs!$C$55,0))),0)</f>
        <v>0</v>
      </c>
      <c r="K527" s="24" t="n">
        <f aca="false">IF(K$508=Inputs!$C$9+1,Inputs!$C$6*IF($C$496="renew",Inputs!$C$44,IF($C$496="retrofit",Inputs!$C$45,IF($C$496="relet",Inputs!$C$55,0))),0)</f>
        <v>0</v>
      </c>
      <c r="L527" s="24" t="n">
        <f aca="false">IF(L$508=Inputs!$C$9+1,Inputs!$C$6*IF($C$496="renew",Inputs!$C$44,IF($C$496="retrofit",Inputs!$C$45,IF($C$496="relet",Inputs!$C$55,0))),0)</f>
        <v>0</v>
      </c>
      <c r="M527" s="24" t="n">
        <f aca="false">IF(M$508=Inputs!$C$9+1,Inputs!$C$6*IF($C$496="renew",Inputs!$C$44,IF($C$496="retrofit",Inputs!$C$45,IF($C$496="relet",Inputs!$C$55,0))),0)</f>
        <v>12.8</v>
      </c>
      <c r="N527" s="24" t="n">
        <f aca="false">IF(N$508=Inputs!$C$9+1,Inputs!$C$6*IF($C$496="renew",Inputs!$C$44,IF($C$496="retrofit",Inputs!$C$45,IF($C$496="relet",Inputs!$C$55,0))),0)</f>
        <v>0</v>
      </c>
      <c r="O527" s="24" t="n">
        <f aca="false">IF(O$508=Inputs!$C$9+1,Inputs!$C$6*IF($C$496="renew",Inputs!$C$44,IF($C$496="retrofit",Inputs!$C$45,IF($C$496="relet",Inputs!$C$55,0))),0)</f>
        <v>0</v>
      </c>
    </row>
    <row r="528" customFormat="false" ht="15" hidden="false" customHeight="false" outlineLevel="0" collapsed="false">
      <c r="B528" s="29" t="s">
        <v>161</v>
      </c>
      <c r="E528" s="30" t="n">
        <f aca="false">E524-E525-E526-E527</f>
        <v>-34.5159552</v>
      </c>
      <c r="F528" s="30" t="n">
        <f aca="false">F524-F525-F526-F527</f>
        <v>-33.197245056</v>
      </c>
      <c r="G528" s="30" t="n">
        <f aca="false">G524-G525-G526-G527</f>
        <v>79.21415009088</v>
      </c>
      <c r="H528" s="30" t="n">
        <f aca="false">H524-H525-H526-H527</f>
        <v>81.0938216246976</v>
      </c>
      <c r="I528" s="30" t="n">
        <f aca="false">I524-I525-I526-I527</f>
        <v>72.7108640441916</v>
      </c>
      <c r="J528" s="30" t="n">
        <f aca="false">J524-J525-J526-J527</f>
        <v>73.9253484587254</v>
      </c>
      <c r="K528" s="30" t="n">
        <f aca="false">K524-K525-K526-K527</f>
        <v>75.1579090044874</v>
      </c>
      <c r="L528" s="30" t="n">
        <f aca="false">L524-L525-L526-L527</f>
        <v>76.4087392032015</v>
      </c>
      <c r="M528" s="30" t="n">
        <f aca="false">M524-M525-M526-M527</f>
        <v>57.6465391402159</v>
      </c>
      <c r="N528" s="30" t="n">
        <f aca="false">N524-N525-N526-N527</f>
        <v>71.5898563775964</v>
      </c>
      <c r="O528" s="30" t="n">
        <f aca="false">O524-O525-O526-O527</f>
        <v>72.7491264127083</v>
      </c>
    </row>
    <row r="529" customFormat="false" ht="15" hidden="false" customHeight="false" outlineLevel="0" collapsed="false">
      <c r="B529" s="6" t="s">
        <v>162</v>
      </c>
    </row>
    <row r="531" customFormat="false" ht="15" hidden="false" customHeight="false" outlineLevel="0" collapsed="false">
      <c r="B531" s="9" t="s">
        <v>163</v>
      </c>
      <c r="C531" s="23" t="n">
        <f aca="false">IF($C$496="renew",Inputs!$C$67,IF($C$496="retrofit",Inputs!$C$68,IF($C$496="relet",Inputs!$C$69,Inputs!$C$70)))+$C$502</f>
        <v>0.07</v>
      </c>
    </row>
    <row r="532" customFormat="false" ht="15" hidden="false" customHeight="false" outlineLevel="0" collapsed="false">
      <c r="B532" s="9" t="s">
        <v>164</v>
      </c>
      <c r="C532" s="24" t="n">
        <f aca="false">O519+O521-O522-Inputs!$C$12*O519</f>
        <v>32.1051648944678</v>
      </c>
    </row>
    <row r="533" customFormat="false" ht="15" hidden="false" customHeight="false" outlineLevel="0" collapsed="false">
      <c r="B533" s="9" t="s">
        <v>165</v>
      </c>
      <c r="C533" s="24" t="n">
        <f aca="false">O524-$C$532</f>
        <v>43.0630110010599</v>
      </c>
    </row>
    <row r="534" customFormat="false" ht="15" hidden="false" customHeight="false" outlineLevel="0" collapsed="false">
      <c r="B534" s="9" t="s">
        <v>166</v>
      </c>
      <c r="C534" s="24" t="n">
        <f aca="false">IF($C$496="stranded",Inputs!$C$57*Inputs!$C$6-Inputs!$C$58,0)</f>
        <v>0</v>
      </c>
    </row>
    <row r="535" customFormat="false" ht="15" hidden="false" customHeight="false" outlineLevel="0" collapsed="false">
      <c r="B535" s="9" t="s">
        <v>167</v>
      </c>
      <c r="C535" s="24" t="n">
        <f aca="false">($C$532+$C$533)/$C$531+$C$534</f>
        <v>1073.83108422183</v>
      </c>
    </row>
    <row r="536" customFormat="false" ht="15" hidden="false" customHeight="false" outlineLevel="0" collapsed="false">
      <c r="B536" s="29" t="s">
        <v>168</v>
      </c>
      <c r="C536" s="30" t="n">
        <f aca="false">$C$535*(1-Inputs!$C$66)</f>
        <v>1057.7236179585</v>
      </c>
    </row>
    <row r="537" customFormat="false" ht="15" hidden="false" customHeight="false" outlineLevel="0" collapsed="false">
      <c r="B537" s="9" t="s">
        <v>169</v>
      </c>
      <c r="C537" s="24" t="n">
        <f aca="false">$C$506*(1+Inputs!$C$65)</f>
        <v>918</v>
      </c>
    </row>
    <row r="539" customFormat="false" ht="15" hidden="false" customHeight="false" outlineLevel="0" collapsed="false">
      <c r="B539" s="25" t="s">
        <v>170</v>
      </c>
      <c r="C539" s="26"/>
      <c r="D539" s="26" t="n">
        <v>0</v>
      </c>
      <c r="E539" s="26" t="n">
        <v>1</v>
      </c>
      <c r="F539" s="26" t="n">
        <v>2</v>
      </c>
      <c r="G539" s="26" t="n">
        <v>3</v>
      </c>
      <c r="H539" s="26" t="n">
        <v>4</v>
      </c>
      <c r="I539" s="26" t="n">
        <v>5</v>
      </c>
      <c r="J539" s="26" t="n">
        <v>6</v>
      </c>
      <c r="K539" s="26" t="n">
        <v>7</v>
      </c>
      <c r="L539" s="26" t="n">
        <v>8</v>
      </c>
      <c r="M539" s="26" t="n">
        <v>9</v>
      </c>
      <c r="N539" s="26" t="n">
        <v>10</v>
      </c>
    </row>
    <row r="540" customFormat="false" ht="15" hidden="false" customHeight="false" outlineLevel="0" collapsed="false">
      <c r="B540" s="29" t="s">
        <v>171</v>
      </c>
      <c r="D540" s="30" t="n">
        <f aca="false">-$C$537</f>
        <v>-918</v>
      </c>
      <c r="E540" s="30" t="n">
        <f aca="false">E528</f>
        <v>-34.5159552</v>
      </c>
      <c r="F540" s="30" t="n">
        <f aca="false">F528</f>
        <v>-33.197245056</v>
      </c>
      <c r="G540" s="30" t="n">
        <f aca="false">G528</f>
        <v>79.21415009088</v>
      </c>
      <c r="H540" s="30" t="n">
        <f aca="false">H528</f>
        <v>81.0938216246976</v>
      </c>
      <c r="I540" s="30" t="n">
        <f aca="false">I528</f>
        <v>72.7108640441916</v>
      </c>
      <c r="J540" s="30" t="n">
        <f aca="false">J528</f>
        <v>73.9253484587254</v>
      </c>
      <c r="K540" s="30" t="n">
        <f aca="false">K528</f>
        <v>75.1579090044874</v>
      </c>
      <c r="L540" s="30" t="n">
        <f aca="false">L528</f>
        <v>76.4087392032015</v>
      </c>
      <c r="M540" s="30" t="n">
        <f aca="false">M528</f>
        <v>57.6465391402159</v>
      </c>
      <c r="N540" s="30" t="n">
        <f aca="false">N528+$C$536</f>
        <v>1129.31347433609</v>
      </c>
    </row>
    <row r="541" customFormat="false" ht="15" hidden="false" customHeight="false" outlineLevel="0" collapsed="false">
      <c r="B541" s="29" t="s">
        <v>172</v>
      </c>
      <c r="C541" s="31" t="n">
        <f aca="false">IRR(D540:N540,0.08)</f>
        <v>0.062552249597874</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O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4"/>
    <col collapsed="false" customWidth="true" hidden="false" outlineLevel="0" max="3" min="3" style="0" width="16"/>
    <col collapsed="false" customWidth="true" hidden="false" outlineLevel="0" max="15" min="4" style="0" width="11"/>
  </cols>
  <sheetData>
    <row r="1" customFormat="false" ht="6" hidden="false" customHeight="true" outlineLevel="0" collapsed="false"/>
    <row r="2" customFormat="false" ht="17.35" hidden="false" customHeight="false" outlineLevel="0" collapsed="false">
      <c r="B2" s="5" t="s">
        <v>235</v>
      </c>
    </row>
    <row r="3" customFormat="false" ht="15" hidden="false" customHeight="false" outlineLevel="0" collapsed="false">
      <c r="B3" s="6" t="s">
        <v>236</v>
      </c>
    </row>
    <row r="5" customFormat="false" ht="15" hidden="false" customHeight="false" outlineLevel="0" collapsed="false">
      <c r="B5" s="7" t="s">
        <v>237</v>
      </c>
      <c r="C5" s="8"/>
      <c r="D5" s="8"/>
    </row>
    <row r="6" customFormat="false" ht="15" hidden="false" customHeight="false" outlineLevel="0" collapsed="false">
      <c r="B6" s="9" t="s">
        <v>238</v>
      </c>
      <c r="C6" s="24" t="n">
        <f aca="false">Model!E34</f>
        <v>50.7840448</v>
      </c>
    </row>
    <row r="7" customFormat="false" ht="15" hidden="false" customHeight="false" outlineLevel="0" collapsed="false">
      <c r="B7" s="9" t="s">
        <v>239</v>
      </c>
      <c r="C7" s="23" t="n">
        <f aca="false">$C$6/Inputs!$C$64</f>
        <v>0.0564267164444445</v>
      </c>
    </row>
    <row r="8" customFormat="false" ht="15" hidden="false" customHeight="false" outlineLevel="0" collapsed="false">
      <c r="B8" s="29" t="s">
        <v>240</v>
      </c>
      <c r="C8" s="30" t="n">
        <f aca="false">$C$6/Inputs!$C$73</f>
        <v>923.346269090909</v>
      </c>
    </row>
    <row r="9" customFormat="false" ht="15" hidden="false" customHeight="false" outlineLevel="0" collapsed="false">
      <c r="B9" s="9" t="s">
        <v>241</v>
      </c>
      <c r="C9" s="24" t="n">
        <f aca="false">Model!G34</f>
        <v>81.12377009088</v>
      </c>
    </row>
    <row r="10" customFormat="false" ht="15" hidden="false" customHeight="false" outlineLevel="0" collapsed="false">
      <c r="B10" s="29" t="s">
        <v>242</v>
      </c>
      <c r="C10" s="30" t="n">
        <f aca="false">$C$9/Inputs!$C$73-Model!$C$54</f>
        <v>1306.977638016</v>
      </c>
    </row>
    <row r="11" customFormat="false" ht="15" hidden="false" customHeight="false" outlineLevel="0" collapsed="false">
      <c r="B11" s="29" t="s">
        <v>243</v>
      </c>
      <c r="C11" s="30" t="n">
        <f aca="false">Inputs!$C$74*$C$9-Model!$C$54</f>
        <v>1616.72294199936</v>
      </c>
    </row>
    <row r="13" customFormat="false" ht="15" hidden="false" customHeight="false" outlineLevel="0" collapsed="false">
      <c r="B13" s="7" t="s">
        <v>244</v>
      </c>
      <c r="C13" s="8"/>
      <c r="D13" s="8"/>
    </row>
    <row r="14" customFormat="false" ht="15" hidden="false" customHeight="false" outlineLevel="0" collapsed="false">
      <c r="B14" s="29" t="s">
        <v>245</v>
      </c>
      <c r="C14" s="30" t="n">
        <f aca="false">NPV(Inputs!$C$72,Model!$E$50:$N$50)</f>
        <v>995.868550555025</v>
      </c>
    </row>
    <row r="15" customFormat="false" ht="15" hidden="false" customHeight="false" outlineLevel="0" collapsed="false">
      <c r="B15" s="29" t="s">
        <v>246</v>
      </c>
      <c r="C15" s="30" t="n">
        <f aca="false">NPV(Inputs!$C$72,Scenarios!$E$50:$N$50)</f>
        <v>1054.52735548237</v>
      </c>
    </row>
    <row r="16" customFormat="false" ht="15" hidden="false" customHeight="false" outlineLevel="0" collapsed="false">
      <c r="B16" s="29" t="s">
        <v>247</v>
      </c>
      <c r="C16" s="30" t="n">
        <f aca="false">NPV(Inputs!$C$72,Scenarios!$E$99:$N$99)</f>
        <v>726.157926256891</v>
      </c>
    </row>
    <row r="17" customFormat="false" ht="15" hidden="false" customHeight="false" outlineLevel="0" collapsed="false">
      <c r="B17" s="29" t="s">
        <v>248</v>
      </c>
      <c r="C17" s="30" t="n">
        <f aca="false">NPV(Inputs!$C$72,Scenarios!$E$148:$N$148)</f>
        <v>557.076730406231</v>
      </c>
    </row>
    <row r="19" customFormat="false" ht="15" hidden="false" customHeight="false" outlineLevel="0" collapsed="false">
      <c r="B19" s="7" t="s">
        <v>249</v>
      </c>
      <c r="C19" s="8"/>
      <c r="D19" s="8"/>
      <c r="E19" s="8"/>
      <c r="F19" s="8"/>
      <c r="G19" s="8"/>
      <c r="H19" s="8"/>
      <c r="I19" s="8"/>
      <c r="J19" s="8"/>
      <c r="K19" s="8"/>
      <c r="L19" s="8"/>
      <c r="M19" s="8"/>
      <c r="N19" s="8"/>
      <c r="O19" s="8"/>
    </row>
    <row r="20" customFormat="false" ht="15" hidden="false" customHeight="false" outlineLevel="0" collapsed="false">
      <c r="B20" s="25" t="s">
        <v>250</v>
      </c>
      <c r="C20" s="26"/>
      <c r="E20" s="26" t="n">
        <v>1</v>
      </c>
      <c r="F20" s="26" t="n">
        <v>2</v>
      </c>
      <c r="G20" s="26" t="n">
        <v>3</v>
      </c>
      <c r="H20" s="26" t="n">
        <v>4</v>
      </c>
      <c r="I20" s="26" t="n">
        <v>5</v>
      </c>
      <c r="J20" s="26" t="n">
        <v>6</v>
      </c>
      <c r="K20" s="26" t="n">
        <v>7</v>
      </c>
      <c r="L20" s="26" t="n">
        <v>8</v>
      </c>
      <c r="M20" s="26" t="n">
        <v>9</v>
      </c>
      <c r="N20" s="26" t="n">
        <v>10</v>
      </c>
      <c r="O20" s="26" t="n">
        <v>11</v>
      </c>
    </row>
    <row r="21" customFormat="false" ht="15" hidden="false" customHeight="false" outlineLevel="0" collapsed="false">
      <c r="B21" s="9" t="s">
        <v>251</v>
      </c>
      <c r="E21" s="20" t="n">
        <f aca="false">IF(E$20&lt;=Inputs!$C$9,1,0)</f>
        <v>1</v>
      </c>
      <c r="F21" s="20" t="n">
        <f aca="false">IF(F$20&lt;=Inputs!$C$9,1,0)</f>
        <v>1</v>
      </c>
      <c r="G21" s="20" t="n">
        <f aca="false">IF(G$20&lt;=Inputs!$C$9,1,0)</f>
        <v>1</v>
      </c>
      <c r="H21" s="20" t="n">
        <f aca="false">IF(H$20&lt;=Inputs!$C$9,1,0)</f>
        <v>1</v>
      </c>
      <c r="I21" s="20" t="n">
        <f aca="false">IF(I$20&lt;=Inputs!$C$9,1,0)</f>
        <v>1</v>
      </c>
      <c r="J21" s="20" t="n">
        <f aca="false">IF(J$20&lt;=Inputs!$C$9,1,0)</f>
        <v>1</v>
      </c>
      <c r="K21" s="20" t="n">
        <f aca="false">IF(K$20&lt;=Inputs!$C$9,1,0)</f>
        <v>1</v>
      </c>
      <c r="L21" s="20" t="n">
        <f aca="false">IF(L$20&lt;=Inputs!$C$9,1,0)</f>
        <v>1</v>
      </c>
      <c r="M21" s="20" t="n">
        <f aca="false">IF(M$20&lt;=Inputs!$C$9,1,0)</f>
        <v>0</v>
      </c>
      <c r="N21" s="20" t="n">
        <f aca="false">IF(N$20&lt;=Inputs!$C$9,1,0)</f>
        <v>0</v>
      </c>
      <c r="O21" s="20" t="n">
        <f aca="false">IF(O$20&lt;=Inputs!$C$9,1,0)</f>
        <v>0</v>
      </c>
    </row>
    <row r="22" customFormat="false" ht="15" hidden="false" customHeight="false" outlineLevel="0" collapsed="false">
      <c r="B22" s="9" t="s">
        <v>252</v>
      </c>
      <c r="E22" s="24" t="n">
        <f aca="false">Model!E26+Model!E27-Model!E28-Inputs!$C$12*Model!E26-Inputs!$C$13*(1+Inputs!$C$11)^(E$20-1)</f>
        <v>49.4840448</v>
      </c>
      <c r="F22" s="24" t="n">
        <f aca="false">Model!F26+Model!F27-Model!F28-Inputs!$C$12*Model!F26-Inputs!$C$13*(1+Inputs!$C$11)^(F$20-1)</f>
        <v>50.802754944</v>
      </c>
      <c r="G22" s="24" t="n">
        <f aca="false">Model!G26+Model!G27-Model!G28-Inputs!$C$12*Model!G26-Inputs!$C$13*(1+Inputs!$C$11)^(G$20-1)</f>
        <v>52.14621929088</v>
      </c>
      <c r="H22" s="24" t="n">
        <f aca="false">Model!H26+Model!H27-Model!H28-Inputs!$C$12*Model!H26-Inputs!$C$13*(1+Inputs!$C$11)^(H$20-1)</f>
        <v>53.5148843246976</v>
      </c>
      <c r="I22" s="24" t="n">
        <f aca="false">Model!I26+Model!I27-Model!I28-Inputs!$C$12*Model!I26-Inputs!$C$13*(1+Inputs!$C$11)^(I$20-1)</f>
        <v>53.0254536011916</v>
      </c>
      <c r="J22" s="24" t="n">
        <f aca="false">Model!J26+Model!J27-Model!J28-Inputs!$C$12*Model!J26-Inputs!$C$13*(1+Inputs!$C$11)^(J$20-1)</f>
        <v>53.9200091334754</v>
      </c>
      <c r="K22" s="24" t="n">
        <f aca="false">Model!K26+Model!K27-Model!K28-Inputs!$C$12*Model!K26-Inputs!$C$13*(1+Inputs!$C$11)^(K$20-1)</f>
        <v>54.8280030505327</v>
      </c>
      <c r="L22" s="24" t="n">
        <f aca="false">Model!L26+Model!L27-Model!L28-Inputs!$C$12*Model!L26-Inputs!$C$13*(1+Inputs!$C$11)^(L$20-1)</f>
        <v>55.7495836852908</v>
      </c>
      <c r="M22" s="24" t="n">
        <f aca="false">Model!M26+Model!M27-Model!M28-Inputs!$C$12*Model!M26-Inputs!$C$13*(1+Inputs!$C$11)^(M$20-1)</f>
        <v>49.4534063260393</v>
      </c>
      <c r="N22" s="24" t="n">
        <f aca="false">Model!N26+Model!N27-Model!N28-Inputs!$C$12*Model!N26-Inputs!$C$13*(1+Inputs!$C$11)^(N$20-1)</f>
        <v>50.2579741729367</v>
      </c>
      <c r="O22" s="24" t="n">
        <f aca="false">Model!O26+Model!O27-Model!O28-Inputs!$C$12*Model!O26-Inputs!$C$13*(1+Inputs!$C$11)^(O$20-1)</f>
        <v>51.0736788418596</v>
      </c>
    </row>
    <row r="23" customFormat="false" ht="15" hidden="false" customHeight="false" outlineLevel="0" collapsed="false">
      <c r="B23" s="9" t="s">
        <v>253</v>
      </c>
      <c r="E23" s="27" t="n">
        <f aca="false">1/(1+Inputs!$C$72)^E$20</f>
        <v>0.930232558139535</v>
      </c>
      <c r="F23" s="27" t="n">
        <f aca="false">1/(1+Inputs!$C$72)^F$20</f>
        <v>0.865332612222823</v>
      </c>
      <c r="G23" s="27" t="n">
        <f aca="false">1/(1+Inputs!$C$72)^G$20</f>
        <v>0.804960569509603</v>
      </c>
      <c r="H23" s="27" t="n">
        <f aca="false">1/(1+Inputs!$C$72)^H$20</f>
        <v>0.748800529776375</v>
      </c>
      <c r="I23" s="27" t="n">
        <f aca="false">1/(1+Inputs!$C$72)^I$20</f>
        <v>0.696558632350116</v>
      </c>
      <c r="J23" s="27" t="n">
        <f aca="false">1/(1+Inputs!$C$72)^J$20</f>
        <v>0.647961518465224</v>
      </c>
      <c r="K23" s="27" t="n">
        <f aca="false">1/(1+Inputs!$C$72)^K$20</f>
        <v>0.602754900897883</v>
      </c>
      <c r="L23" s="27" t="n">
        <f aca="false">1/(1+Inputs!$C$72)^L$20</f>
        <v>0.56070223339338</v>
      </c>
      <c r="M23" s="27" t="n">
        <f aca="false">1/(1+Inputs!$C$72)^M$20</f>
        <v>0.521583472924074</v>
      </c>
      <c r="N23" s="27" t="n">
        <f aca="false">1/(1+Inputs!$C$72)^N$20</f>
        <v>0.485193928301464</v>
      </c>
      <c r="O23" s="27" t="n">
        <f aca="false">1/(1+Inputs!$C$72)^O$20</f>
        <v>0.451343189117641</v>
      </c>
    </row>
    <row r="24" customFormat="false" ht="15" hidden="false" customHeight="false" outlineLevel="0" collapsed="false">
      <c r="B24" s="9" t="s">
        <v>254</v>
      </c>
      <c r="E24" s="24" t="n">
        <f aca="false">E21*E22*E23</f>
        <v>46.0316695813954</v>
      </c>
      <c r="F24" s="24" t="n">
        <f aca="false">F21*F22*F23</f>
        <v>43.9612806438075</v>
      </c>
      <c r="G24" s="24" t="n">
        <f aca="false">G21*G22*G23</f>
        <v>41.9756503781594</v>
      </c>
      <c r="H24" s="24" t="n">
        <f aca="false">H21*H22*H23</f>
        <v>40.071973733255</v>
      </c>
      <c r="I24" s="24" t="n">
        <f aca="false">I21*I22*I23</f>
        <v>36.9353374401905</v>
      </c>
      <c r="J24" s="24" t="n">
        <f aca="false">J21*J22*J23</f>
        <v>34.9380909937855</v>
      </c>
      <c r="K24" s="24" t="n">
        <f aca="false">K21*K22*K23</f>
        <v>33.0478475451527</v>
      </c>
      <c r="L24" s="24" t="n">
        <f aca="false">L21*L22*L23</f>
        <v>31.2589160830937</v>
      </c>
      <c r="M24" s="24" t="n">
        <f aca="false">M21*M22*M23</f>
        <v>0</v>
      </c>
      <c r="N24" s="24" t="n">
        <f aca="false">N21*N22*N23</f>
        <v>0</v>
      </c>
      <c r="O24" s="24" t="n">
        <f aca="false">O21*O22*O23</f>
        <v>0</v>
      </c>
    </row>
    <row r="25" customFormat="false" ht="15" hidden="false" customHeight="false" outlineLevel="0" collapsed="false">
      <c r="B25" s="29" t="s">
        <v>255</v>
      </c>
      <c r="C25" s="30" t="n">
        <f aca="false">SUM(E24:O24)</f>
        <v>308.22076639884</v>
      </c>
    </row>
    <row r="26" customFormat="false" ht="15" hidden="false" customHeight="false" outlineLevel="0" collapsed="false">
      <c r="B26" s="29" t="s">
        <v>256</v>
      </c>
      <c r="C26" s="34" t="n">
        <f aca="false">$C$25/Inputs!$C$64</f>
        <v>0.342467518220933</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O69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8"/>
    <col collapsed="false" customWidth="true" hidden="false" outlineLevel="0" max="3" min="3" style="0" width="14"/>
    <col collapsed="false" customWidth="true" hidden="false" outlineLevel="0" max="15" min="4" style="0" width="11"/>
  </cols>
  <sheetData>
    <row r="1" customFormat="false" ht="6" hidden="false" customHeight="true" outlineLevel="0" collapsed="false"/>
    <row r="2" customFormat="false" ht="17.35" hidden="false" customHeight="false" outlineLevel="0" collapsed="false">
      <c r="B2" s="5" t="s">
        <v>257</v>
      </c>
    </row>
    <row r="3" customFormat="false" ht="15" hidden="false" customHeight="false" outlineLevel="0" collapsed="false">
      <c r="B3" s="6" t="s">
        <v>258</v>
      </c>
    </row>
    <row r="5" customFormat="false" ht="15" hidden="false" customHeight="false" outlineLevel="0" collapsed="false">
      <c r="B5" s="7" t="s">
        <v>259</v>
      </c>
      <c r="C5" s="8"/>
      <c r="D5" s="8"/>
      <c r="E5" s="8"/>
      <c r="F5" s="8"/>
      <c r="G5" s="8"/>
      <c r="H5" s="8"/>
      <c r="I5" s="8"/>
      <c r="J5" s="8"/>
      <c r="K5" s="8"/>
      <c r="L5" s="8"/>
      <c r="M5" s="8"/>
      <c r="N5" s="8"/>
      <c r="O5" s="8"/>
    </row>
    <row r="6" customFormat="false" ht="15" hidden="false" customHeight="false" outlineLevel="0" collapsed="false">
      <c r="B6" s="29" t="s">
        <v>260</v>
      </c>
      <c r="C6" s="35" t="n">
        <v>0.110127652366738</v>
      </c>
      <c r="D6" s="6" t="s">
        <v>261</v>
      </c>
    </row>
    <row r="7" customFormat="false" ht="15" hidden="false" customHeight="false" outlineLevel="0" collapsed="false">
      <c r="B7" s="9" t="s">
        <v>130</v>
      </c>
      <c r="C7" s="18" t="str">
        <f aca="false">Inputs!$C$42</f>
        <v>renew</v>
      </c>
    </row>
    <row r="8" customFormat="false" ht="15" hidden="false" customHeight="false" outlineLevel="0" collapsed="false">
      <c r="B8" s="9" t="s">
        <v>131</v>
      </c>
      <c r="C8" s="19" t="n">
        <f aca="false">$C$6</f>
        <v>0.110127652366738</v>
      </c>
    </row>
    <row r="9" customFormat="false" ht="15" hidden="false" customHeight="false" outlineLevel="0" collapsed="false">
      <c r="B9" s="9" t="s">
        <v>132</v>
      </c>
      <c r="C9" s="20" t="n">
        <f aca="false">Inputs!$C$32</f>
        <v>3</v>
      </c>
    </row>
    <row r="10" customFormat="false" ht="15" hidden="false" customHeight="false" outlineLevel="0" collapsed="false">
      <c r="B10" s="9" t="s">
        <v>133</v>
      </c>
      <c r="C10" s="13" t="n">
        <v>0</v>
      </c>
    </row>
    <row r="11" customFormat="false" ht="15" hidden="false" customHeight="false" outlineLevel="0" collapsed="false">
      <c r="B11" s="9" t="s">
        <v>134</v>
      </c>
      <c r="C11" s="21" t="n">
        <f aca="false">Inputs!$C$60</f>
        <v>0.45</v>
      </c>
    </row>
    <row r="12" customFormat="false" ht="15" hidden="false" customHeight="false" outlineLevel="0" collapsed="false">
      <c r="B12" s="9" t="s">
        <v>135</v>
      </c>
      <c r="C12" s="22" t="n">
        <f aca="false">Inputs!$C$61</f>
        <v>1.55</v>
      </c>
    </row>
    <row r="13" customFormat="false" ht="15" hidden="false" customHeight="false" outlineLevel="0" collapsed="false">
      <c r="B13" s="9" t="s">
        <v>136</v>
      </c>
      <c r="C13" s="23" t="n">
        <f aca="false">Inputs!$C$71</f>
        <v>0</v>
      </c>
    </row>
    <row r="14" customFormat="false" ht="15" hidden="false" customHeight="false" outlineLevel="0" collapsed="false">
      <c r="B14" s="9" t="s">
        <v>30</v>
      </c>
      <c r="C14" s="22" t="n">
        <f aca="false">Inputs!$C$18</f>
        <v>1.4</v>
      </c>
    </row>
    <row r="15" customFormat="false" ht="15" hidden="false" customHeight="false" outlineLevel="0" collapsed="false">
      <c r="B15" s="9" t="s">
        <v>137</v>
      </c>
      <c r="C15" s="19" t="n">
        <f aca="false">Inputs!$C$43</f>
        <v>0.9</v>
      </c>
    </row>
    <row r="16" customFormat="false" ht="15" hidden="false" customHeight="false" outlineLevel="0" collapsed="false">
      <c r="B16" s="9" t="s">
        <v>138</v>
      </c>
      <c r="C16" s="24" t="n">
        <f aca="false">Inputs!$C$49</f>
        <v>120</v>
      </c>
    </row>
    <row r="17" customFormat="false" ht="15" hidden="false" customHeight="false" outlineLevel="0" collapsed="false">
      <c r="B17" s="9" t="s">
        <v>139</v>
      </c>
      <c r="C17" s="24" t="n">
        <f aca="false">Inputs!$C$64</f>
        <v>900</v>
      </c>
    </row>
    <row r="18" customFormat="false" ht="15" hidden="false" customHeight="false" outlineLevel="0" collapsed="false">
      <c r="B18" s="9" t="s">
        <v>140</v>
      </c>
      <c r="C18" s="24" t="n">
        <f aca="false">Inputs!$C$6*1000*Inputs!$C$7*12*(1+Inputs!$C$8)^(Inputs!$C$9-1)/1000000</f>
        <v>60.8711509000706</v>
      </c>
    </row>
    <row r="19" customFormat="false" ht="15" hidden="false" customHeight="false" outlineLevel="0" collapsed="false">
      <c r="B19" s="25" t="s">
        <v>141</v>
      </c>
      <c r="C19" s="26"/>
      <c r="E19" s="26" t="n">
        <v>1</v>
      </c>
      <c r="F19" s="26" t="n">
        <v>2</v>
      </c>
      <c r="G19" s="26" t="n">
        <v>3</v>
      </c>
      <c r="H19" s="26" t="n">
        <v>4</v>
      </c>
      <c r="I19" s="26" t="n">
        <v>5</v>
      </c>
      <c r="J19" s="26" t="n">
        <v>6</v>
      </c>
      <c r="K19" s="26" t="n">
        <v>7</v>
      </c>
      <c r="L19" s="26" t="n">
        <v>8</v>
      </c>
      <c r="M19" s="26" t="n">
        <v>9</v>
      </c>
      <c r="N19" s="26" t="n">
        <v>10</v>
      </c>
      <c r="O19" s="26" t="n">
        <v>11</v>
      </c>
    </row>
    <row r="20" customFormat="false" ht="15" hidden="false" customHeight="false" outlineLevel="0" collapsed="false">
      <c r="B20" s="9" t="s">
        <v>142</v>
      </c>
      <c r="E20" s="24" t="n">
        <f aca="false">IF(E$19&lt;=Inputs!$C$22,Inputs!$C$21,Inputs!$C$23*(1+Inputs!$C$24)^(E$19-5)*IF(AND($C$8&lt;&gt;0,E$19&gt;=Inputs!$C$26),1+$C$8,1))</f>
        <v>61</v>
      </c>
      <c r="F20" s="24" t="n">
        <f aca="false">IF(F$19&lt;=Inputs!$C$22,Inputs!$C$21,Inputs!$C$23*(1+Inputs!$C$24)^(F$19-5)*IF(AND($C$8&lt;&gt;0,F$19&gt;=Inputs!$C$26),1+$C$8,1))</f>
        <v>61</v>
      </c>
      <c r="G20" s="24" t="n">
        <f aca="false">IF(G$19&lt;=Inputs!$C$22,Inputs!$C$21,Inputs!$C$23*(1+Inputs!$C$24)^(G$19-5)*IF(AND($C$8&lt;&gt;0,G$19&gt;=Inputs!$C$26),1+$C$8,1))</f>
        <v>61</v>
      </c>
      <c r="H20" s="24" t="n">
        <f aca="false">IF(H$19&lt;=Inputs!$C$22,Inputs!$C$21,Inputs!$C$23*(1+Inputs!$C$24)^(H$19-5)*IF(AND($C$8&lt;&gt;0,H$19&gt;=Inputs!$C$26),1+$C$8,1))</f>
        <v>61</v>
      </c>
      <c r="I20" s="24" t="n">
        <f aca="false">IF(I$19&lt;=Inputs!$C$22,Inputs!$C$21,Inputs!$C$23*(1+Inputs!$C$24)^(I$19-5)*IF(AND($C$8&lt;&gt;0,I$19&gt;=Inputs!$C$26),1+$C$8,1))</f>
        <v>74.3785527085714</v>
      </c>
      <c r="J20" s="24" t="n">
        <f aca="false">IF(J$19&lt;=Inputs!$C$22,Inputs!$C$21,Inputs!$C$23*(1+Inputs!$C$24)^(J$19-5)*IF(AND($C$8&lt;&gt;0,J$19&gt;=Inputs!$C$26),1+$C$8,1))</f>
        <v>76.2380165262857</v>
      </c>
      <c r="K20" s="24" t="n">
        <f aca="false">IF(K$19&lt;=Inputs!$C$22,Inputs!$C$21,Inputs!$C$23*(1+Inputs!$C$24)^(K$19-5)*IF(AND($C$8&lt;&gt;0,K$19&gt;=Inputs!$C$26),1+$C$8,1))</f>
        <v>78.1439669394429</v>
      </c>
      <c r="L20" s="24" t="n">
        <f aca="false">IF(L$19&lt;=Inputs!$C$22,Inputs!$C$21,Inputs!$C$23*(1+Inputs!$C$24)^(L$19-5)*IF(AND($C$8&lt;&gt;0,L$19&gt;=Inputs!$C$26),1+$C$8,1))</f>
        <v>80.0975661129289</v>
      </c>
      <c r="M20" s="24" t="n">
        <f aca="false">IF(M$19&lt;=Inputs!$C$22,Inputs!$C$21,Inputs!$C$23*(1+Inputs!$C$24)^(M$19-5)*IF(AND($C$8&lt;&gt;0,M$19&gt;=Inputs!$C$26),1+$C$8,1))</f>
        <v>82.1000052657521</v>
      </c>
      <c r="N20" s="24" t="n">
        <f aca="false">IF(N$19&lt;=Inputs!$C$22,Inputs!$C$21,Inputs!$C$23*(1+Inputs!$C$24)^(N$19-5)*IF(AND($C$8&lt;&gt;0,N$19&gt;=Inputs!$C$26),1+$C$8,1))</f>
        <v>84.1525053973959</v>
      </c>
      <c r="O20" s="24" t="n">
        <f aca="false">IF(O$19&lt;=Inputs!$C$22,Inputs!$C$21,Inputs!$C$23*(1+Inputs!$C$24)^(O$19-5)*IF(AND($C$8&lt;&gt;0,O$19&gt;=Inputs!$C$26),1+$C$8,1))</f>
        <v>86.2563180323308</v>
      </c>
    </row>
    <row r="21" customFormat="false" ht="15" hidden="false" customHeight="false" outlineLevel="0" collapsed="false">
      <c r="B21" s="9" t="s">
        <v>143</v>
      </c>
      <c r="E21" s="24" t="n">
        <f aca="false">Inputs!$C$19*(1+Inputs!$C$20)^(E$19-1)</f>
        <v>74</v>
      </c>
      <c r="F21" s="24" t="n">
        <f aca="false">Inputs!$C$19*(1+Inputs!$C$20)^(F$19-1)</f>
        <v>75.48</v>
      </c>
      <c r="G21" s="24" t="n">
        <f aca="false">Inputs!$C$19*(1+Inputs!$C$20)^(G$19-1)</f>
        <v>76.9896</v>
      </c>
      <c r="H21" s="24" t="n">
        <f aca="false">Inputs!$C$19*(1+Inputs!$C$20)^(H$19-1)</f>
        <v>78.529392</v>
      </c>
      <c r="I21" s="24" t="n">
        <f aca="false">Inputs!$C$19*(1+Inputs!$C$20)^(I$19-1)</f>
        <v>80.09997984</v>
      </c>
      <c r="J21" s="24" t="n">
        <f aca="false">Inputs!$C$19*(1+Inputs!$C$20)^(J$19-1)</f>
        <v>81.7019794368</v>
      </c>
      <c r="K21" s="24" t="n">
        <f aca="false">Inputs!$C$19*(1+Inputs!$C$20)^(K$19-1)</f>
        <v>83.336019025536</v>
      </c>
      <c r="L21" s="24" t="n">
        <f aca="false">Inputs!$C$19*(1+Inputs!$C$20)^(L$19-1)</f>
        <v>85.0027394060467</v>
      </c>
      <c r="M21" s="24" t="n">
        <f aca="false">Inputs!$C$19*(1+Inputs!$C$20)^(M$19-1)</f>
        <v>86.7027941941677</v>
      </c>
      <c r="N21" s="24" t="n">
        <f aca="false">Inputs!$C$19*(1+Inputs!$C$20)^(N$19-1)</f>
        <v>88.436850078051</v>
      </c>
      <c r="O21" s="24" t="n">
        <f aca="false">Inputs!$C$19*(1+Inputs!$C$20)^(O$19-1)</f>
        <v>90.205587079612</v>
      </c>
    </row>
    <row r="22" customFormat="false" ht="15" hidden="false" customHeight="false" outlineLevel="0" collapsed="false">
      <c r="B22" s="9" t="s">
        <v>144</v>
      </c>
      <c r="E22" s="27" t="n">
        <f aca="false">(1+Inputs!$C$11)^(E$19-1)</f>
        <v>1</v>
      </c>
      <c r="F22" s="27" t="n">
        <f aca="false">(1+Inputs!$C$11)^(F$19-1)</f>
        <v>1.03</v>
      </c>
      <c r="G22" s="27" t="n">
        <f aca="false">(1+Inputs!$C$11)^(G$19-1)</f>
        <v>1.0609</v>
      </c>
      <c r="H22" s="27" t="n">
        <f aca="false">(1+Inputs!$C$11)^(H$19-1)</f>
        <v>1.092727</v>
      </c>
      <c r="I22" s="27" t="n">
        <f aca="false">(1+Inputs!$C$11)^(I$19-1)</f>
        <v>1.12550881</v>
      </c>
      <c r="J22" s="27" t="n">
        <f aca="false">(1+Inputs!$C$11)^(J$19-1)</f>
        <v>1.1592740743</v>
      </c>
      <c r="K22" s="27" t="n">
        <f aca="false">(1+Inputs!$C$11)^(K$19-1)</f>
        <v>1.194052296529</v>
      </c>
      <c r="L22" s="27" t="n">
        <f aca="false">(1+Inputs!$C$11)^(L$19-1)</f>
        <v>1.22987386542487</v>
      </c>
      <c r="M22" s="27" t="n">
        <f aca="false">(1+Inputs!$C$11)^(M$19-1)</f>
        <v>1.26677008138762</v>
      </c>
      <c r="N22" s="27" t="n">
        <f aca="false">(1+Inputs!$C$11)^(N$19-1)</f>
        <v>1.30477318382925</v>
      </c>
      <c r="O22" s="27" t="n">
        <f aca="false">(1+Inputs!$C$11)^(O$19-1)</f>
        <v>1.34391637934412</v>
      </c>
    </row>
    <row r="23" customFormat="false" ht="15" hidden="false" customHeight="false" outlineLevel="0" collapsed="false">
      <c r="B23" s="9" t="s">
        <v>145</v>
      </c>
      <c r="E23" s="19" t="n">
        <f aca="false">IF(OR(E$19&lt;=Inputs!$C$9,$C$7="renew"),IF(AND($C$10&gt;0,E$19&gt;=$C$10),$C$11,Inputs!$C$16),IF($C$7="stranded",0,Inputs!$C$16))</f>
        <v>0.8</v>
      </c>
      <c r="F23" s="19" t="n">
        <f aca="false">IF(OR(F$19&lt;=Inputs!$C$9,$C$7="renew"),IF(AND($C$10&gt;0,F$19&gt;=$C$10),$C$11,Inputs!$C$16),IF($C$7="stranded",0,Inputs!$C$16))</f>
        <v>0.8</v>
      </c>
      <c r="G23" s="19" t="n">
        <f aca="false">IF(OR(G$19&lt;=Inputs!$C$9,$C$7="renew"),IF(AND($C$10&gt;0,G$19&gt;=$C$10),$C$11,Inputs!$C$16),IF($C$7="stranded",0,Inputs!$C$16))</f>
        <v>0.8</v>
      </c>
      <c r="H23" s="19" t="n">
        <f aca="false">IF(OR(H$19&lt;=Inputs!$C$9,$C$7="renew"),IF(AND($C$10&gt;0,H$19&gt;=$C$10),$C$11,Inputs!$C$16),IF($C$7="stranded",0,Inputs!$C$16))</f>
        <v>0.8</v>
      </c>
      <c r="I23" s="19" t="n">
        <f aca="false">IF(OR(I$19&lt;=Inputs!$C$9,$C$7="renew"),IF(AND($C$10&gt;0,I$19&gt;=$C$10),$C$11,Inputs!$C$16),IF($C$7="stranded",0,Inputs!$C$16))</f>
        <v>0.8</v>
      </c>
      <c r="J23" s="19" t="n">
        <f aca="false">IF(OR(J$19&lt;=Inputs!$C$9,$C$7="renew"),IF(AND($C$10&gt;0,J$19&gt;=$C$10),$C$11,Inputs!$C$16),IF($C$7="stranded",0,Inputs!$C$16))</f>
        <v>0.8</v>
      </c>
      <c r="K23" s="19" t="n">
        <f aca="false">IF(OR(K$19&lt;=Inputs!$C$9,$C$7="renew"),IF(AND($C$10&gt;0,K$19&gt;=$C$10),$C$11,Inputs!$C$16),IF($C$7="stranded",0,Inputs!$C$16))</f>
        <v>0.8</v>
      </c>
      <c r="L23" s="19" t="n">
        <f aca="false">IF(OR(L$19&lt;=Inputs!$C$9,$C$7="renew"),IF(AND($C$10&gt;0,L$19&gt;=$C$10),$C$11,Inputs!$C$16),IF($C$7="stranded",0,Inputs!$C$16))</f>
        <v>0.8</v>
      </c>
      <c r="M23" s="19" t="n">
        <f aca="false">IF(OR(M$19&lt;=Inputs!$C$9,$C$7="renew"),IF(AND($C$10&gt;0,M$19&gt;=$C$10),$C$11,Inputs!$C$16),IF($C$7="stranded",0,Inputs!$C$16))</f>
        <v>0.8</v>
      </c>
      <c r="N23" s="19" t="n">
        <f aca="false">IF(OR(N$19&lt;=Inputs!$C$9,$C$7="renew"),IF(AND($C$10&gt;0,N$19&gt;=$C$10),$C$11,Inputs!$C$16),IF($C$7="stranded",0,Inputs!$C$16))</f>
        <v>0.8</v>
      </c>
      <c r="O23" s="19" t="n">
        <f aca="false">IF(OR(O$19&lt;=Inputs!$C$9,$C$7="renew"),IF(AND($C$10&gt;0,O$19&gt;=$C$10),$C$11,Inputs!$C$16),IF($C$7="stranded",0,Inputs!$C$16))</f>
        <v>0.8</v>
      </c>
    </row>
    <row r="24" customFormat="false" ht="15" hidden="false" customHeight="false" outlineLevel="0" collapsed="false">
      <c r="B24" s="9" t="s">
        <v>146</v>
      </c>
      <c r="E24" s="22" t="n">
        <f aca="false">IF(OR(E$19&lt;=Inputs!$C$9,$C$7="renew"),IF(AND($C$10&gt;0,E$19&gt;=$C$10),$C$12,$C$14),IF($C$7="retrofit",Inputs!$C$47,IF($C$7="relet",Inputs!$C$53,0)))</f>
        <v>1.4</v>
      </c>
      <c r="F24" s="22" t="n">
        <f aca="false">IF(OR(F$19&lt;=Inputs!$C$9,$C$7="renew"),IF(AND($C$10&gt;0,F$19&gt;=$C$10),$C$12,$C$14),IF($C$7="retrofit",Inputs!$C$47,IF($C$7="relet",Inputs!$C$53,0)))</f>
        <v>1.4</v>
      </c>
      <c r="G24" s="22" t="n">
        <f aca="false">IF(OR(G$19&lt;=Inputs!$C$9,$C$7="renew"),IF(AND($C$10&gt;0,G$19&gt;=$C$10),$C$12,$C$14),IF($C$7="retrofit",Inputs!$C$47,IF($C$7="relet",Inputs!$C$53,0)))</f>
        <v>1.4</v>
      </c>
      <c r="H24" s="22" t="n">
        <f aca="false">IF(OR(H$19&lt;=Inputs!$C$9,$C$7="renew"),IF(AND($C$10&gt;0,H$19&gt;=$C$10),$C$12,$C$14),IF($C$7="retrofit",Inputs!$C$47,IF($C$7="relet",Inputs!$C$53,0)))</f>
        <v>1.4</v>
      </c>
      <c r="I24" s="22" t="n">
        <f aca="false">IF(OR(I$19&lt;=Inputs!$C$9,$C$7="renew"),IF(AND($C$10&gt;0,I$19&gt;=$C$10),$C$12,$C$14),IF($C$7="retrofit",Inputs!$C$47,IF($C$7="relet",Inputs!$C$53,0)))</f>
        <v>1.4</v>
      </c>
      <c r="J24" s="22" t="n">
        <f aca="false">IF(OR(J$19&lt;=Inputs!$C$9,$C$7="renew"),IF(AND($C$10&gt;0,J$19&gt;=$C$10),$C$12,$C$14),IF($C$7="retrofit",Inputs!$C$47,IF($C$7="relet",Inputs!$C$53,0)))</f>
        <v>1.4</v>
      </c>
      <c r="K24" s="22" t="n">
        <f aca="false">IF(OR(K$19&lt;=Inputs!$C$9,$C$7="renew"),IF(AND($C$10&gt;0,K$19&gt;=$C$10),$C$12,$C$14),IF($C$7="retrofit",Inputs!$C$47,IF($C$7="relet",Inputs!$C$53,0)))</f>
        <v>1.4</v>
      </c>
      <c r="L24" s="22" t="n">
        <f aca="false">IF(OR(L$19&lt;=Inputs!$C$9,$C$7="renew"),IF(AND($C$10&gt;0,L$19&gt;=$C$10),$C$12,$C$14),IF($C$7="retrofit",Inputs!$C$47,IF($C$7="relet",Inputs!$C$53,0)))</f>
        <v>1.4</v>
      </c>
      <c r="M24" s="22" t="n">
        <f aca="false">IF(OR(M$19&lt;=Inputs!$C$9,$C$7="renew"),IF(AND($C$10&gt;0,M$19&gt;=$C$10),$C$12,$C$14),IF($C$7="retrofit",Inputs!$C$47,IF($C$7="relet",Inputs!$C$53,0)))</f>
        <v>1.4</v>
      </c>
      <c r="N24" s="22" t="n">
        <f aca="false">IF(OR(N$19&lt;=Inputs!$C$9,$C$7="renew"),IF(AND($C$10&gt;0,N$19&gt;=$C$10),$C$12,$C$14),IF($C$7="retrofit",Inputs!$C$47,IF($C$7="relet",Inputs!$C$53,0)))</f>
        <v>1.4</v>
      </c>
      <c r="O24" s="22" t="n">
        <f aca="false">IF(OR(O$19&lt;=Inputs!$C$9,$C$7="renew"),IF(AND($C$10&gt;0,O$19&gt;=$C$10),$C$12,$C$14),IF($C$7="retrofit",Inputs!$C$47,IF($C$7="relet",Inputs!$C$53,0)))</f>
        <v>1.4</v>
      </c>
    </row>
    <row r="25" customFormat="false" ht="15" hidden="false" customHeight="false" outlineLevel="0" collapsed="false">
      <c r="B25" s="9" t="s">
        <v>147</v>
      </c>
      <c r="E25" s="21" t="n">
        <f aca="false">IF(OR(E$19&lt;=Inputs!$C$9,$C$7="renew"),1,IF($C$7="retrofit",IF(E$19-Inputs!$C$9=1,0,1),IF($C$7="relet",CHOOSE(MIN(E$19-Inputs!$C$9,3),Inputs!$C$50,Inputs!$C$51,Inputs!$C$52),0)))</f>
        <v>1</v>
      </c>
      <c r="F25" s="21" t="n">
        <f aca="false">IF(OR(F$19&lt;=Inputs!$C$9,$C$7="renew"),1,IF($C$7="retrofit",IF(F$19-Inputs!$C$9=1,0,1),IF($C$7="relet",CHOOSE(MIN(F$19-Inputs!$C$9,3),Inputs!$C$50,Inputs!$C$51,Inputs!$C$52),0)))</f>
        <v>1</v>
      </c>
      <c r="G25" s="21" t="n">
        <f aca="false">IF(OR(G$19&lt;=Inputs!$C$9,$C$7="renew"),1,IF($C$7="retrofit",IF(G$19-Inputs!$C$9=1,0,1),IF($C$7="relet",CHOOSE(MIN(G$19-Inputs!$C$9,3),Inputs!$C$50,Inputs!$C$51,Inputs!$C$52),0)))</f>
        <v>1</v>
      </c>
      <c r="H25" s="21" t="n">
        <f aca="false">IF(OR(H$19&lt;=Inputs!$C$9,$C$7="renew"),1,IF($C$7="retrofit",IF(H$19-Inputs!$C$9=1,0,1),IF($C$7="relet",CHOOSE(MIN(H$19-Inputs!$C$9,3),Inputs!$C$50,Inputs!$C$51,Inputs!$C$52),0)))</f>
        <v>1</v>
      </c>
      <c r="I25" s="21" t="n">
        <f aca="false">IF(OR(I$19&lt;=Inputs!$C$9,$C$7="renew"),1,IF($C$7="retrofit",IF(I$19-Inputs!$C$9=1,0,1),IF($C$7="relet",CHOOSE(MIN(I$19-Inputs!$C$9,3),Inputs!$C$50,Inputs!$C$51,Inputs!$C$52),0)))</f>
        <v>1</v>
      </c>
      <c r="J25" s="21" t="n">
        <f aca="false">IF(OR(J$19&lt;=Inputs!$C$9,$C$7="renew"),1,IF($C$7="retrofit",IF(J$19-Inputs!$C$9=1,0,1),IF($C$7="relet",CHOOSE(MIN(J$19-Inputs!$C$9,3),Inputs!$C$50,Inputs!$C$51,Inputs!$C$52),0)))</f>
        <v>1</v>
      </c>
      <c r="K25" s="21" t="n">
        <f aca="false">IF(OR(K$19&lt;=Inputs!$C$9,$C$7="renew"),1,IF($C$7="retrofit",IF(K$19-Inputs!$C$9=1,0,1),IF($C$7="relet",CHOOSE(MIN(K$19-Inputs!$C$9,3),Inputs!$C$50,Inputs!$C$51,Inputs!$C$52),0)))</f>
        <v>1</v>
      </c>
      <c r="L25" s="21" t="n">
        <f aca="false">IF(OR(L$19&lt;=Inputs!$C$9,$C$7="renew"),1,IF($C$7="retrofit",IF(L$19-Inputs!$C$9=1,0,1),IF($C$7="relet",CHOOSE(MIN(L$19-Inputs!$C$9,3),Inputs!$C$50,Inputs!$C$51,Inputs!$C$52),0)))</f>
        <v>1</v>
      </c>
      <c r="M25" s="21" t="n">
        <f aca="false">IF(OR(M$19&lt;=Inputs!$C$9,$C$7="renew"),1,IF($C$7="retrofit",IF(M$19-Inputs!$C$9=1,0,1),IF($C$7="relet",CHOOSE(MIN(M$19-Inputs!$C$9,3),Inputs!$C$50,Inputs!$C$51,Inputs!$C$52),0)))</f>
        <v>1</v>
      </c>
      <c r="N25" s="21" t="n">
        <f aca="false">IF(OR(N$19&lt;=Inputs!$C$9,$C$7="renew"),1,IF($C$7="retrofit",IF(N$19-Inputs!$C$9=1,0,1),IF($C$7="relet",CHOOSE(MIN(N$19-Inputs!$C$9,3),Inputs!$C$50,Inputs!$C$51,Inputs!$C$52),0)))</f>
        <v>1</v>
      </c>
      <c r="O25" s="21" t="n">
        <f aca="false">IF(OR(O$19&lt;=Inputs!$C$9,$C$7="renew"),1,IF($C$7="retrofit",IF(O$19-Inputs!$C$9=1,0,1),IF($C$7="relet",CHOOSE(MIN(O$19-Inputs!$C$9,3),Inputs!$C$50,Inputs!$C$51,Inputs!$C$52),0)))</f>
        <v>1</v>
      </c>
    </row>
    <row r="26" customFormat="false" ht="15" hidden="false" customHeight="false" outlineLevel="0" collapsed="false">
      <c r="B26" s="9" t="s">
        <v>148</v>
      </c>
      <c r="E26" s="28" t="n">
        <f aca="false">Inputs!$C$6*1000*E23*E25*8760/1000</f>
        <v>224256</v>
      </c>
      <c r="F26" s="28" t="n">
        <f aca="false">Inputs!$C$6*1000*F23*F25*8760/1000</f>
        <v>224256</v>
      </c>
      <c r="G26" s="28" t="n">
        <f aca="false">Inputs!$C$6*1000*G23*G25*8760/1000</f>
        <v>224256</v>
      </c>
      <c r="H26" s="28" t="n">
        <f aca="false">Inputs!$C$6*1000*H23*H25*8760/1000</f>
        <v>224256</v>
      </c>
      <c r="I26" s="28" t="n">
        <f aca="false">Inputs!$C$6*1000*I23*I25*8760/1000</f>
        <v>224256</v>
      </c>
      <c r="J26" s="28" t="n">
        <f aca="false">Inputs!$C$6*1000*J23*J25*8760/1000</f>
        <v>224256</v>
      </c>
      <c r="K26" s="28" t="n">
        <f aca="false">Inputs!$C$6*1000*K23*K25*8760/1000</f>
        <v>224256</v>
      </c>
      <c r="L26" s="28" t="n">
        <f aca="false">Inputs!$C$6*1000*L23*L25*8760/1000</f>
        <v>224256</v>
      </c>
      <c r="M26" s="28" t="n">
        <f aca="false">Inputs!$C$6*1000*M23*M25*8760/1000</f>
        <v>224256</v>
      </c>
      <c r="N26" s="28" t="n">
        <f aca="false">Inputs!$C$6*1000*N23*N25*8760/1000</f>
        <v>224256</v>
      </c>
      <c r="O26" s="28" t="n">
        <f aca="false">Inputs!$C$6*1000*O23*O25*8760/1000</f>
        <v>224256</v>
      </c>
    </row>
    <row r="27" customFormat="false" ht="15" hidden="false" customHeight="false" outlineLevel="0" collapsed="false">
      <c r="B27" s="9" t="s">
        <v>149</v>
      </c>
      <c r="E27" s="24" t="n">
        <f aca="false">IF(E$19&lt;=Inputs!$C$9,Inputs!$C$6*1000*Inputs!$C$7*12*(1+Inputs!$C$8)^(E$19-1)/1000000,IF($C$7="renew",$C$18*$C$15*(1+Inputs!$C$8)^(E$19-Inputs!$C$9-1),IF($C$7="retrofit",IF(E$19-Inputs!$C$9=1,0,Inputs!$C$6*1000*Inputs!$C$46*12*(1+Inputs!$C$8)^(E$19-Inputs!$C$9-2)/1000000),IF($C$7="relet",Inputs!$C$6*1000*E25*$C$16*12*(1+Inputs!$C$8)^(E$19-Inputs!$C$9-2)/1000000,0))))</f>
        <v>52.992</v>
      </c>
      <c r="F27" s="24" t="n">
        <f aca="false">IF(F$19&lt;=Inputs!$C$9,Inputs!$C$6*1000*Inputs!$C$7*12*(1+Inputs!$C$8)^(F$19-1)/1000000,IF($C$7="renew",$C$18*$C$15*(1+Inputs!$C$8)^(F$19-Inputs!$C$9-1),IF($C$7="retrofit",IF(F$19-Inputs!$C$9=1,0,Inputs!$C$6*1000*Inputs!$C$46*12*(1+Inputs!$C$8)^(F$19-Inputs!$C$9-2)/1000000),IF($C$7="relet",Inputs!$C$6*1000*F25*$C$16*12*(1+Inputs!$C$8)^(F$19-Inputs!$C$9-2)/1000000,0))))</f>
        <v>54.05184</v>
      </c>
      <c r="G27" s="24" t="n">
        <f aca="false">IF(G$19&lt;=Inputs!$C$9,Inputs!$C$6*1000*Inputs!$C$7*12*(1+Inputs!$C$8)^(G$19-1)/1000000,IF($C$7="renew",$C$18*$C$15*(1+Inputs!$C$8)^(G$19-Inputs!$C$9-1),IF($C$7="retrofit",IF(G$19-Inputs!$C$9=1,0,Inputs!$C$6*1000*Inputs!$C$46*12*(1+Inputs!$C$8)^(G$19-Inputs!$C$9-2)/1000000),IF($C$7="relet",Inputs!$C$6*1000*G25*$C$16*12*(1+Inputs!$C$8)^(G$19-Inputs!$C$9-2)/1000000,0))))</f>
        <v>55.1328768</v>
      </c>
      <c r="H27" s="24" t="n">
        <f aca="false">IF(H$19&lt;=Inputs!$C$9,Inputs!$C$6*1000*Inputs!$C$7*12*(1+Inputs!$C$8)^(H$19-1)/1000000,IF($C$7="renew",$C$18*$C$15*(1+Inputs!$C$8)^(H$19-Inputs!$C$9-1),IF($C$7="retrofit",IF(H$19-Inputs!$C$9=1,0,Inputs!$C$6*1000*Inputs!$C$46*12*(1+Inputs!$C$8)^(H$19-Inputs!$C$9-2)/1000000),IF($C$7="relet",Inputs!$C$6*1000*H25*$C$16*12*(1+Inputs!$C$8)^(H$19-Inputs!$C$9-2)/1000000,0))))</f>
        <v>56.235534336</v>
      </c>
      <c r="I27" s="24" t="n">
        <f aca="false">IF(I$19&lt;=Inputs!$C$9,Inputs!$C$6*1000*Inputs!$C$7*12*(1+Inputs!$C$8)^(I$19-1)/1000000,IF($C$7="renew",$C$18*$C$15*(1+Inputs!$C$8)^(I$19-Inputs!$C$9-1),IF($C$7="retrofit",IF(I$19-Inputs!$C$9=1,0,Inputs!$C$6*1000*Inputs!$C$46*12*(1+Inputs!$C$8)^(I$19-Inputs!$C$9-2)/1000000),IF($C$7="relet",Inputs!$C$6*1000*I25*$C$16*12*(1+Inputs!$C$8)^(I$19-Inputs!$C$9-2)/1000000,0))))</f>
        <v>57.36024502272</v>
      </c>
      <c r="J27" s="24" t="n">
        <f aca="false">IF(J$19&lt;=Inputs!$C$9,Inputs!$C$6*1000*Inputs!$C$7*12*(1+Inputs!$C$8)^(J$19-1)/1000000,IF($C$7="renew",$C$18*$C$15*(1+Inputs!$C$8)^(J$19-Inputs!$C$9-1),IF($C$7="retrofit",IF(J$19-Inputs!$C$9=1,0,Inputs!$C$6*1000*Inputs!$C$46*12*(1+Inputs!$C$8)^(J$19-Inputs!$C$9-2)/1000000),IF($C$7="relet",Inputs!$C$6*1000*J25*$C$16*12*(1+Inputs!$C$8)^(J$19-Inputs!$C$9-2)/1000000,0))))</f>
        <v>58.5074499231744</v>
      </c>
      <c r="K27" s="24" t="n">
        <f aca="false">IF(K$19&lt;=Inputs!$C$9,Inputs!$C$6*1000*Inputs!$C$7*12*(1+Inputs!$C$8)^(K$19-1)/1000000,IF($C$7="renew",$C$18*$C$15*(1+Inputs!$C$8)^(K$19-Inputs!$C$9-1),IF($C$7="retrofit",IF(K$19-Inputs!$C$9=1,0,Inputs!$C$6*1000*Inputs!$C$46*12*(1+Inputs!$C$8)^(K$19-Inputs!$C$9-2)/1000000),IF($C$7="relet",Inputs!$C$6*1000*K25*$C$16*12*(1+Inputs!$C$8)^(K$19-Inputs!$C$9-2)/1000000,0))))</f>
        <v>59.6775989216379</v>
      </c>
      <c r="L27" s="24" t="n">
        <f aca="false">IF(L$19&lt;=Inputs!$C$9,Inputs!$C$6*1000*Inputs!$C$7*12*(1+Inputs!$C$8)^(L$19-1)/1000000,IF($C$7="renew",$C$18*$C$15*(1+Inputs!$C$8)^(L$19-Inputs!$C$9-1),IF($C$7="retrofit",IF(L$19-Inputs!$C$9=1,0,Inputs!$C$6*1000*Inputs!$C$46*12*(1+Inputs!$C$8)^(L$19-Inputs!$C$9-2)/1000000),IF($C$7="relet",Inputs!$C$6*1000*L25*$C$16*12*(1+Inputs!$C$8)^(L$19-Inputs!$C$9-2)/1000000,0))))</f>
        <v>60.8711509000706</v>
      </c>
      <c r="M27" s="24" t="n">
        <f aca="false">IF(M$19&lt;=Inputs!$C$9,Inputs!$C$6*1000*Inputs!$C$7*12*(1+Inputs!$C$8)^(M$19-1)/1000000,IF($C$7="renew",$C$18*$C$15*(1+Inputs!$C$8)^(M$19-Inputs!$C$9-1),IF($C$7="retrofit",IF(M$19-Inputs!$C$9=1,0,Inputs!$C$6*1000*Inputs!$C$46*12*(1+Inputs!$C$8)^(M$19-Inputs!$C$9-2)/1000000),IF($C$7="relet",Inputs!$C$6*1000*M25*$C$16*12*(1+Inputs!$C$8)^(M$19-Inputs!$C$9-2)/1000000,0))))</f>
        <v>54.7840358100636</v>
      </c>
      <c r="N27" s="24" t="n">
        <f aca="false">IF(N$19&lt;=Inputs!$C$9,Inputs!$C$6*1000*Inputs!$C$7*12*(1+Inputs!$C$8)^(N$19-1)/1000000,IF($C$7="renew",$C$18*$C$15*(1+Inputs!$C$8)^(N$19-Inputs!$C$9-1),IF($C$7="retrofit",IF(N$19-Inputs!$C$9=1,0,Inputs!$C$6*1000*Inputs!$C$46*12*(1+Inputs!$C$8)^(N$19-Inputs!$C$9-2)/1000000),IF($C$7="relet",Inputs!$C$6*1000*N25*$C$16*12*(1+Inputs!$C$8)^(N$19-Inputs!$C$9-2)/1000000,0))))</f>
        <v>55.8797165262649</v>
      </c>
      <c r="O27" s="24" t="n">
        <f aca="false">IF(O$19&lt;=Inputs!$C$9,Inputs!$C$6*1000*Inputs!$C$7*12*(1+Inputs!$C$8)^(O$19-1)/1000000,IF($C$7="renew",$C$18*$C$15*(1+Inputs!$C$8)^(O$19-Inputs!$C$9-1),IF($C$7="retrofit",IF(O$19-Inputs!$C$9=1,0,Inputs!$C$6*1000*Inputs!$C$46*12*(1+Inputs!$C$8)^(O$19-Inputs!$C$9-2)/1000000),IF($C$7="relet",Inputs!$C$6*1000*O25*$C$16*12*(1+Inputs!$C$8)^(O$19-Inputs!$C$9-2)/1000000,0))))</f>
        <v>56.9973108567902</v>
      </c>
    </row>
    <row r="28" customFormat="false" ht="15" hidden="false" customHeight="false" outlineLevel="0" collapsed="false">
      <c r="B28" s="9" t="s">
        <v>150</v>
      </c>
      <c r="E28" s="24" t="n">
        <f aca="false">IF(OR(E$19&lt;=Inputs!$C$9,$C$7="renew"),E26*(Inputs!$C$17*E21-E24*E20)/1000000,E26*E24*Inputs!$C$27/1000000)</f>
        <v>2.4219648</v>
      </c>
      <c r="F28" s="24" t="n">
        <f aca="false">IF(OR(F$19&lt;=Inputs!$C$9,$C$7="renew"),F26*(Inputs!$C$17*F21-F24*F20)/1000000,F26*F24*Inputs!$C$27/1000000)</f>
        <v>2.853433344</v>
      </c>
      <c r="G28" s="24" t="n">
        <f aca="false">IF(OR(G$19&lt;=Inputs!$C$9,$C$7="renew"),G26*(Inputs!$C$17*G21-G24*G20)/1000000,G26*G24*Inputs!$C$27/1000000)</f>
        <v>3.29353125888</v>
      </c>
      <c r="H28" s="24" t="n">
        <f aca="false">IF(OR(H$19&lt;=Inputs!$C$9,$C$7="renew"),H26*(Inputs!$C$17*H21-H24*H20)/1000000,H26*H24*Inputs!$C$27/1000000)</f>
        <v>3.74243113205761</v>
      </c>
      <c r="I28" s="24" t="n">
        <f aca="false">IF(OR(I$19&lt;=Inputs!$C$9,$C$7="renew"),I26*(Inputs!$C$17*I21-I24*I20)/1000000,I26*I24*Inputs!$C$27/1000000)</f>
        <v>0</v>
      </c>
      <c r="J28" s="24" t="n">
        <f aca="false">IF(OR(J$19&lt;=Inputs!$C$9,$C$7="renew"),J26*(Inputs!$C$17*J21-J24*J20)/1000000,J26*J24*Inputs!$C$27/1000000)</f>
        <v>-0.116758857013495</v>
      </c>
      <c r="K28" s="24" t="n">
        <f aca="false">IF(OR(K$19&lt;=Inputs!$C$9,$C$7="renew"),K26*(Inputs!$C$17*K21-K24*K20)/1000000,K26*K24*Inputs!$C$27/1000000)</f>
        <v>-0.238771862592594</v>
      </c>
      <c r="L28" s="24" t="n">
        <f aca="false">IF(OR(L$19&lt;=Inputs!$C$9,$C$7="renew"),L26*(Inputs!$C$17*L21-L24*L20)/1000000,L26*L24*Inputs!$C$27/1000000)</f>
        <v>-0.366217073994235</v>
      </c>
      <c r="M28" s="24" t="n">
        <f aca="false">IF(OR(M$19&lt;=Inputs!$C$9,$C$7="renew"),M26*(Inputs!$C$17*M21-M24*M20)/1000000,M26*M24*Inputs!$C$27/1000000)</f>
        <v>-0.499277933977665</v>
      </c>
      <c r="N28" s="24" t="n">
        <f aca="false">IF(OR(N$19&lt;=Inputs!$C$9,$C$7="renew"),N26*(Inputs!$C$17*N21-N24*N20)/1000000,N26*N24*Inputs!$C$27/1000000)</f>
        <v>-0.63814342412335</v>
      </c>
      <c r="O28" s="24" t="n">
        <f aca="false">IF(OR(O$19&lt;=Inputs!$C$9,$C$7="renew"),O26*(Inputs!$C$17*O21-O24*O20)/1000000,O26*O24*Inputs!$C$27/1000000)</f>
        <v>-0.783008222358606</v>
      </c>
    </row>
    <row r="29" customFormat="false" ht="15" hidden="false" customHeight="false" outlineLevel="0" collapsed="false">
      <c r="B29" s="9" t="s">
        <v>151</v>
      </c>
      <c r="E29" s="24" t="n">
        <f aca="false">Inputs!$C$10*E22*IF(OR(E$19&lt;=Inputs!$C$9,$C$7="renew"),1,IF($C$7="retrofit",IF(E$19-Inputs!$C$9=1,Inputs!$C$48,1),IF($C$7="relet",Inputs!$C$54,Inputs!$C$56)))</f>
        <v>4.1</v>
      </c>
      <c r="F29" s="24" t="n">
        <f aca="false">Inputs!$C$10*F22*IF(OR(F$19&lt;=Inputs!$C$9,$C$7="renew"),1,IF($C$7="retrofit",IF(F$19-Inputs!$C$9=1,Inputs!$C$48,1),IF($C$7="relet",Inputs!$C$54,Inputs!$C$56)))</f>
        <v>4.223</v>
      </c>
      <c r="G29" s="24" t="n">
        <f aca="false">Inputs!$C$10*G22*IF(OR(G$19&lt;=Inputs!$C$9,$C$7="renew"),1,IF($C$7="retrofit",IF(G$19-Inputs!$C$9=1,Inputs!$C$48,1),IF($C$7="relet",Inputs!$C$54,Inputs!$C$56)))</f>
        <v>4.34969</v>
      </c>
      <c r="H29" s="24" t="n">
        <f aca="false">Inputs!$C$10*H22*IF(OR(H$19&lt;=Inputs!$C$9,$C$7="renew"),1,IF($C$7="retrofit",IF(H$19-Inputs!$C$9=1,Inputs!$C$48,1),IF($C$7="relet",Inputs!$C$54,Inputs!$C$56)))</f>
        <v>4.4801807</v>
      </c>
      <c r="I29" s="24" t="n">
        <f aca="false">Inputs!$C$10*I22*IF(OR(I$19&lt;=Inputs!$C$9,$C$7="renew"),1,IF($C$7="retrofit",IF(I$19-Inputs!$C$9=1,Inputs!$C$48,1),IF($C$7="relet",Inputs!$C$54,Inputs!$C$56)))</f>
        <v>4.614586121</v>
      </c>
      <c r="J29" s="24" t="n">
        <f aca="false">Inputs!$C$10*J22*IF(OR(J$19&lt;=Inputs!$C$9,$C$7="renew"),1,IF($C$7="retrofit",IF(J$19-Inputs!$C$9=1,Inputs!$C$48,1),IF($C$7="relet",Inputs!$C$54,Inputs!$C$56)))</f>
        <v>4.75302370463</v>
      </c>
      <c r="K29" s="24" t="n">
        <f aca="false">Inputs!$C$10*K22*IF(OR(K$19&lt;=Inputs!$C$9,$C$7="renew"),1,IF($C$7="retrofit",IF(K$19-Inputs!$C$9=1,Inputs!$C$48,1),IF($C$7="relet",Inputs!$C$54,Inputs!$C$56)))</f>
        <v>4.8956144157689</v>
      </c>
      <c r="L29" s="24" t="n">
        <f aca="false">Inputs!$C$10*L22*IF(OR(L$19&lt;=Inputs!$C$9,$C$7="renew"),1,IF($C$7="retrofit",IF(L$19-Inputs!$C$9=1,Inputs!$C$48,1),IF($C$7="relet",Inputs!$C$54,Inputs!$C$56)))</f>
        <v>5.04248284824197</v>
      </c>
      <c r="M29" s="24" t="n">
        <f aca="false">Inputs!$C$10*M22*IF(OR(M$19&lt;=Inputs!$C$9,$C$7="renew"),1,IF($C$7="retrofit",IF(M$19-Inputs!$C$9=1,Inputs!$C$48,1),IF($C$7="relet",Inputs!$C$54,Inputs!$C$56)))</f>
        <v>5.19375733368923</v>
      </c>
      <c r="N29" s="24" t="n">
        <f aca="false">Inputs!$C$10*N22*IF(OR(N$19&lt;=Inputs!$C$9,$C$7="renew"),1,IF($C$7="retrofit",IF(N$19-Inputs!$C$9=1,Inputs!$C$48,1),IF($C$7="relet",Inputs!$C$54,Inputs!$C$56)))</f>
        <v>5.3495700536999</v>
      </c>
      <c r="O29" s="24" t="n">
        <f aca="false">Inputs!$C$10*O22*IF(OR(O$19&lt;=Inputs!$C$9,$C$7="renew"),1,IF($C$7="retrofit",IF(O$19-Inputs!$C$9=1,Inputs!$C$48,1),IF($C$7="relet",Inputs!$C$54,Inputs!$C$56)))</f>
        <v>5.5100571553109</v>
      </c>
    </row>
    <row r="30" customFormat="false" ht="15" hidden="false" customHeight="false" outlineLevel="0" collapsed="false">
      <c r="B30" s="9" t="s">
        <v>152</v>
      </c>
      <c r="E30" s="24" t="n">
        <f aca="false">IF(E$19&gt;=$C$9,Inputs!$C$30*1000*Inputs!$C$34*12*(1+Inputs!$C$8)^(E$19-$C$9)/1000000*IF(AND(E$19=$C$9,$C$9&gt;Inputs!$C$33),1-MIN(12,Inputs!$C$35*($C$9-Inputs!$C$33)*12)/12,1),0)</f>
        <v>0</v>
      </c>
      <c r="F30" s="24" t="n">
        <f aca="false">IF(F$19&gt;=$C$9,Inputs!$C$30*1000*Inputs!$C$34*12*(1+Inputs!$C$8)^(F$19-$C$9)/1000000*IF(AND(F$19=$C$9,$C$9&gt;Inputs!$C$33),1-MIN(12,Inputs!$C$35*($C$9-Inputs!$C$33)*12)/12,1),0)</f>
        <v>0</v>
      </c>
      <c r="G30" s="24" t="n">
        <f aca="false">IF(G$19&gt;=$C$9,Inputs!$C$30*1000*Inputs!$C$34*12*(1+Inputs!$C$8)^(G$19-$C$9)/1000000*IF(AND(G$19=$C$9,$C$9&gt;Inputs!$C$33),1-MIN(12,Inputs!$C$35*($C$9-Inputs!$C$33)*12)/12,1),0)</f>
        <v>29.184</v>
      </c>
      <c r="H30" s="24" t="n">
        <f aca="false">IF(H$19&gt;=$C$9,Inputs!$C$30*1000*Inputs!$C$34*12*(1+Inputs!$C$8)^(H$19-$C$9)/1000000*IF(AND(H$19=$C$9,$C$9&gt;Inputs!$C$33),1-MIN(12,Inputs!$C$35*($C$9-Inputs!$C$33)*12)/12,1),0)</f>
        <v>29.76768</v>
      </c>
      <c r="I30" s="24" t="n">
        <f aca="false">IF(I$19&gt;=$C$9,Inputs!$C$30*1000*Inputs!$C$34*12*(1+Inputs!$C$8)^(I$19-$C$9)/1000000*IF(AND(I$19=$C$9,$C$9&gt;Inputs!$C$33),1-MIN(12,Inputs!$C$35*($C$9-Inputs!$C$33)*12)/12,1),0)</f>
        <v>30.3630336</v>
      </c>
      <c r="J30" s="24" t="n">
        <f aca="false">IF(J$19&gt;=$C$9,Inputs!$C$30*1000*Inputs!$C$34*12*(1+Inputs!$C$8)^(J$19-$C$9)/1000000*IF(AND(J$19=$C$9,$C$9&gt;Inputs!$C$33),1-MIN(12,Inputs!$C$35*($C$9-Inputs!$C$33)*12)/12,1),0)</f>
        <v>30.970294272</v>
      </c>
      <c r="K30" s="24" t="n">
        <f aca="false">IF(K$19&gt;=$C$9,Inputs!$C$30*1000*Inputs!$C$34*12*(1+Inputs!$C$8)^(K$19-$C$9)/1000000*IF(AND(K$19=$C$9,$C$9&gt;Inputs!$C$33),1-MIN(12,Inputs!$C$35*($C$9-Inputs!$C$33)*12)/12,1),0)</f>
        <v>31.58970015744</v>
      </c>
      <c r="L30" s="24" t="n">
        <f aca="false">IF(L$19&gt;=$C$9,Inputs!$C$30*1000*Inputs!$C$34*12*(1+Inputs!$C$8)^(L$19-$C$9)/1000000*IF(AND(L$19=$C$9,$C$9&gt;Inputs!$C$33),1-MIN(12,Inputs!$C$35*($C$9-Inputs!$C$33)*12)/12,1),0)</f>
        <v>32.2214941605888</v>
      </c>
      <c r="M30" s="24" t="n">
        <f aca="false">IF(M$19&gt;=$C$9,Inputs!$C$30*1000*Inputs!$C$34*12*(1+Inputs!$C$8)^(M$19-$C$9)/1000000*IF(AND(M$19=$C$9,$C$9&gt;Inputs!$C$33),1-MIN(12,Inputs!$C$35*($C$9-Inputs!$C$33)*12)/12,1),0)</f>
        <v>32.8659240438006</v>
      </c>
      <c r="N30" s="24" t="n">
        <f aca="false">IF(N$19&gt;=$C$9,Inputs!$C$30*1000*Inputs!$C$34*12*(1+Inputs!$C$8)^(N$19-$C$9)/1000000*IF(AND(N$19=$C$9,$C$9&gt;Inputs!$C$33),1-MIN(12,Inputs!$C$35*($C$9-Inputs!$C$33)*12)/12,1),0)</f>
        <v>33.5232425246766</v>
      </c>
      <c r="O30" s="24" t="n">
        <f aca="false">IF(O$19&gt;=$C$9,Inputs!$C$30*1000*Inputs!$C$34*12*(1+Inputs!$C$8)^(O$19-$C$9)/1000000*IF(AND(O$19=$C$9,$C$9&gt;Inputs!$C$33),1-MIN(12,Inputs!$C$35*($C$9-Inputs!$C$33)*12)/12,1),0)</f>
        <v>34.1937073751701</v>
      </c>
    </row>
    <row r="31" customFormat="false" ht="15" hidden="false" customHeight="false" outlineLevel="0" collapsed="false">
      <c r="B31" s="9" t="s">
        <v>153</v>
      </c>
      <c r="E31" s="28" t="n">
        <f aca="false">IF(E$19&gt;=$C$9,Inputs!$C$30*1000*Inputs!$C$16*8760/1000,0)</f>
        <v>0</v>
      </c>
      <c r="F31" s="28" t="n">
        <f aca="false">IF(F$19&gt;=$C$9,Inputs!$C$30*1000*Inputs!$C$16*8760/1000,0)</f>
        <v>0</v>
      </c>
      <c r="G31" s="28" t="n">
        <f aca="false">IF(G$19&gt;=$C$9,Inputs!$C$30*1000*Inputs!$C$16*8760/1000,0)</f>
        <v>112128</v>
      </c>
      <c r="H31" s="28" t="n">
        <f aca="false">IF(H$19&gt;=$C$9,Inputs!$C$30*1000*Inputs!$C$16*8760/1000,0)</f>
        <v>112128</v>
      </c>
      <c r="I31" s="28" t="n">
        <f aca="false">IF(I$19&gt;=$C$9,Inputs!$C$30*1000*Inputs!$C$16*8760/1000,0)</f>
        <v>112128</v>
      </c>
      <c r="J31" s="28" t="n">
        <f aca="false">IF(J$19&gt;=$C$9,Inputs!$C$30*1000*Inputs!$C$16*8760/1000,0)</f>
        <v>112128</v>
      </c>
      <c r="K31" s="28" t="n">
        <f aca="false">IF(K$19&gt;=$C$9,Inputs!$C$30*1000*Inputs!$C$16*8760/1000,0)</f>
        <v>112128</v>
      </c>
      <c r="L31" s="28" t="n">
        <f aca="false">IF(L$19&gt;=$C$9,Inputs!$C$30*1000*Inputs!$C$16*8760/1000,0)</f>
        <v>112128</v>
      </c>
      <c r="M31" s="28" t="n">
        <f aca="false">IF(M$19&gt;=$C$9,Inputs!$C$30*1000*Inputs!$C$16*8760/1000,0)</f>
        <v>112128</v>
      </c>
      <c r="N31" s="28" t="n">
        <f aca="false">IF(N$19&gt;=$C$9,Inputs!$C$30*1000*Inputs!$C$16*8760/1000,0)</f>
        <v>112128</v>
      </c>
      <c r="O31" s="28" t="n">
        <f aca="false">IF(O$19&gt;=$C$9,Inputs!$C$30*1000*Inputs!$C$16*8760/1000,0)</f>
        <v>112128</v>
      </c>
    </row>
    <row r="32" customFormat="false" ht="15" hidden="false" customHeight="false" outlineLevel="0" collapsed="false">
      <c r="B32" s="9" t="s">
        <v>154</v>
      </c>
      <c r="E32" s="24" t="n">
        <f aca="false">E31*Inputs!$C$37*Inputs!$C$27/1000000</f>
        <v>0</v>
      </c>
      <c r="F32" s="24" t="n">
        <f aca="false">F31*Inputs!$C$37*Inputs!$C$27/1000000</f>
        <v>0</v>
      </c>
      <c r="G32" s="24" t="n">
        <f aca="false">G31*Inputs!$C$37*Inputs!$C$27/1000000</f>
        <v>0.4036608</v>
      </c>
      <c r="H32" s="24" t="n">
        <f aca="false">H31*Inputs!$C$37*Inputs!$C$27/1000000</f>
        <v>0.4036608</v>
      </c>
      <c r="I32" s="24" t="n">
        <f aca="false">I31*Inputs!$C$37*Inputs!$C$27/1000000</f>
        <v>0.4036608</v>
      </c>
      <c r="J32" s="24" t="n">
        <f aca="false">J31*Inputs!$C$37*Inputs!$C$27/1000000</f>
        <v>0.4036608</v>
      </c>
      <c r="K32" s="24" t="n">
        <f aca="false">K31*Inputs!$C$37*Inputs!$C$27/1000000</f>
        <v>0.4036608</v>
      </c>
      <c r="L32" s="24" t="n">
        <f aca="false">L31*Inputs!$C$37*Inputs!$C$27/1000000</f>
        <v>0.4036608</v>
      </c>
      <c r="M32" s="24" t="n">
        <f aca="false">M31*Inputs!$C$37*Inputs!$C$27/1000000</f>
        <v>0.4036608</v>
      </c>
      <c r="N32" s="24" t="n">
        <f aca="false">N31*Inputs!$C$37*Inputs!$C$27/1000000</f>
        <v>0.4036608</v>
      </c>
      <c r="O32" s="24" t="n">
        <f aca="false">O31*Inputs!$C$37*Inputs!$C$27/1000000</f>
        <v>0.4036608</v>
      </c>
    </row>
    <row r="33" customFormat="false" ht="15" hidden="false" customHeight="false" outlineLevel="0" collapsed="false">
      <c r="B33" s="9" t="s">
        <v>155</v>
      </c>
      <c r="E33" s="24" t="n">
        <f aca="false">IF(E$19&gt;=$C$9,Inputs!$C$38*E22,0)</f>
        <v>0</v>
      </c>
      <c r="F33" s="24" t="n">
        <f aca="false">IF(F$19&gt;=$C$9,Inputs!$C$38*F22,0)</f>
        <v>0</v>
      </c>
      <c r="G33" s="24" t="n">
        <f aca="false">IF(G$19&gt;=$C$9,Inputs!$C$38*G22,0)</f>
        <v>1.69744</v>
      </c>
      <c r="H33" s="24" t="n">
        <f aca="false">IF(H$19&gt;=$C$9,Inputs!$C$38*H22,0)</f>
        <v>1.7483632</v>
      </c>
      <c r="I33" s="24" t="n">
        <f aca="false">IF(I$19&gt;=$C$9,Inputs!$C$38*I22,0)</f>
        <v>1.800814096</v>
      </c>
      <c r="J33" s="24" t="n">
        <f aca="false">IF(J$19&gt;=$C$9,Inputs!$C$38*J22,0)</f>
        <v>1.85483851888</v>
      </c>
      <c r="K33" s="24" t="n">
        <f aca="false">IF(K$19&gt;=$C$9,Inputs!$C$38*K22,0)</f>
        <v>1.9104836744464</v>
      </c>
      <c r="L33" s="24" t="n">
        <f aca="false">IF(L$19&gt;=$C$9,Inputs!$C$38*L22,0)</f>
        <v>1.96779818467979</v>
      </c>
      <c r="M33" s="24" t="n">
        <f aca="false">IF(M$19&gt;=$C$9,Inputs!$C$38*M22,0)</f>
        <v>2.02683213022019</v>
      </c>
      <c r="N33" s="24" t="n">
        <f aca="false">IF(N$19&gt;=$C$9,Inputs!$C$38*N22,0)</f>
        <v>2.08763709412679</v>
      </c>
      <c r="O33" s="24" t="n">
        <f aca="false">IF(O$19&gt;=$C$9,Inputs!$C$38*O22,0)</f>
        <v>2.1502662069506</v>
      </c>
    </row>
    <row r="34" customFormat="false" ht="15" hidden="false" customHeight="false" outlineLevel="0" collapsed="false">
      <c r="B34" s="9" t="s">
        <v>156</v>
      </c>
      <c r="E34" s="24" t="n">
        <f aca="false">Inputs!$C$12*(E27+E30)</f>
        <v>0.52992</v>
      </c>
      <c r="F34" s="24" t="n">
        <f aca="false">Inputs!$C$12*(F27+F30)</f>
        <v>0.5405184</v>
      </c>
      <c r="G34" s="24" t="n">
        <f aca="false">Inputs!$C$12*(G27+G30)</f>
        <v>0.843168768</v>
      </c>
      <c r="H34" s="24" t="n">
        <f aca="false">Inputs!$C$12*(H27+H30)</f>
        <v>0.86003214336</v>
      </c>
      <c r="I34" s="24" t="n">
        <f aca="false">Inputs!$C$12*(I27+I30)</f>
        <v>0.8772327862272</v>
      </c>
      <c r="J34" s="24" t="n">
        <f aca="false">Inputs!$C$12*(J27+J30)</f>
        <v>0.894777441951744</v>
      </c>
      <c r="K34" s="24" t="n">
        <f aca="false">Inputs!$C$12*(K27+K30)</f>
        <v>0.912672990790779</v>
      </c>
      <c r="L34" s="24" t="n">
        <f aca="false">Inputs!$C$12*(L27+L30)</f>
        <v>0.930926450606595</v>
      </c>
      <c r="M34" s="24" t="n">
        <f aca="false">Inputs!$C$12*(M27+M30)</f>
        <v>0.876499598538642</v>
      </c>
      <c r="N34" s="24" t="n">
        <f aca="false">Inputs!$C$12*(N27+N30)</f>
        <v>0.894029590509414</v>
      </c>
      <c r="O34" s="24" t="n">
        <f aca="false">Inputs!$C$12*(O27+O30)</f>
        <v>0.911910182319603</v>
      </c>
    </row>
    <row r="35" customFormat="false" ht="15" hidden="false" customHeight="false" outlineLevel="0" collapsed="false">
      <c r="B35" s="29" t="s">
        <v>157</v>
      </c>
      <c r="E35" s="30" t="n">
        <f aca="false">E27+E28+E30+E32-E29-E33-E34</f>
        <v>50.7840448</v>
      </c>
      <c r="F35" s="30" t="n">
        <f aca="false">F27+F28+F30+F32-F29-F33-F34</f>
        <v>52.141754944</v>
      </c>
      <c r="G35" s="30" t="n">
        <f aca="false">G27+G28+G30+G32-G29-G33-G34</f>
        <v>81.12377009088</v>
      </c>
      <c r="H35" s="30" t="n">
        <f aca="false">H27+H28+H30+H32-H29-H33-H34</f>
        <v>83.0607302246976</v>
      </c>
      <c r="I35" s="30" t="n">
        <f aca="false">I27+I28+I30+I32-I29-I33-I34</f>
        <v>80.8343064194928</v>
      </c>
      <c r="J35" s="30" t="n">
        <f aca="false">J27+J28+J30+J32-J29-J33-J34</f>
        <v>82.2620064726992</v>
      </c>
      <c r="K35" s="30" t="n">
        <f aca="false">K27+K28+K30+K32-K29-K33-K34</f>
        <v>83.7134169354792</v>
      </c>
      <c r="L35" s="30" t="n">
        <f aca="false">L27+L28+L30+L32-L29-L33-L34</f>
        <v>85.1888813031369</v>
      </c>
      <c r="M35" s="30" t="n">
        <f aca="false">M27+M28+M30+M32-M29-M33-M34</f>
        <v>79.4572536574384</v>
      </c>
      <c r="N35" s="30" t="n">
        <f aca="false">N27+N28+N30+N32-N29-N33-N34</f>
        <v>80.837239688482</v>
      </c>
      <c r="O35" s="30" t="n">
        <f aca="false">O27+O28+O30+O32-O29-O33-O34</f>
        <v>82.2394372650206</v>
      </c>
    </row>
    <row r="36" customFormat="false" ht="15" hidden="false" customHeight="false" outlineLevel="0" collapsed="false">
      <c r="B36" s="9" t="s">
        <v>158</v>
      </c>
      <c r="E36" s="24" t="n">
        <f aca="false">Inputs!$C$13*E22*IF(AND($C$7="stranded",E$19&gt;Inputs!$C$9),Inputs!$C$56,1)+IF(E$19&gt;=$C$9,Inputs!$C$39*E22,0)</f>
        <v>1.3</v>
      </c>
      <c r="F36" s="24" t="n">
        <f aca="false">Inputs!$C$13*F22*IF(AND($C$7="stranded",F$19&gt;Inputs!$C$9),Inputs!$C$56,1)+IF(F$19&gt;=$C$9,Inputs!$C$39*F22,0)</f>
        <v>1.339</v>
      </c>
      <c r="G36" s="24" t="n">
        <f aca="false">Inputs!$C$13*G22*IF(AND($C$7="stranded",G$19&gt;Inputs!$C$9),Inputs!$C$56,1)+IF(G$19&gt;=$C$9,Inputs!$C$39*G22,0)</f>
        <v>1.90962</v>
      </c>
      <c r="H36" s="24" t="n">
        <f aca="false">Inputs!$C$13*H22*IF(AND($C$7="stranded",H$19&gt;Inputs!$C$9),Inputs!$C$56,1)+IF(H$19&gt;=$C$9,Inputs!$C$39*H22,0)</f>
        <v>1.9669086</v>
      </c>
      <c r="I36" s="24" t="n">
        <f aca="false">Inputs!$C$13*I22*IF(AND($C$7="stranded",I$19&gt;Inputs!$C$9),Inputs!$C$56,1)+IF(I$19&gt;=$C$9,Inputs!$C$39*I22,0)</f>
        <v>2.025915858</v>
      </c>
      <c r="J36" s="24" t="n">
        <f aca="false">Inputs!$C$13*J22*IF(AND($C$7="stranded",J$19&gt;Inputs!$C$9),Inputs!$C$56,1)+IF(J$19&gt;=$C$9,Inputs!$C$39*J22,0)</f>
        <v>2.08669333374</v>
      </c>
      <c r="K36" s="24" t="n">
        <f aca="false">Inputs!$C$13*K22*IF(AND($C$7="stranded",K$19&gt;Inputs!$C$9),Inputs!$C$56,1)+IF(K$19&gt;=$C$9,Inputs!$C$39*K22,0)</f>
        <v>2.1492941337522</v>
      </c>
      <c r="L36" s="24" t="n">
        <f aca="false">Inputs!$C$13*L22*IF(AND($C$7="stranded",L$19&gt;Inputs!$C$9),Inputs!$C$56,1)+IF(L$19&gt;=$C$9,Inputs!$C$39*L22,0)</f>
        <v>2.21377295776477</v>
      </c>
      <c r="M36" s="24" t="n">
        <f aca="false">Inputs!$C$13*M22*IF(AND($C$7="stranded",M$19&gt;Inputs!$C$9),Inputs!$C$56,1)+IF(M$19&gt;=$C$9,Inputs!$C$39*M22,0)</f>
        <v>2.28018614649771</v>
      </c>
      <c r="N36" s="24" t="n">
        <f aca="false">Inputs!$C$13*N22*IF(AND($C$7="stranded",N$19&gt;Inputs!$C$9),Inputs!$C$56,1)+IF(N$19&gt;=$C$9,Inputs!$C$39*N22,0)</f>
        <v>2.34859173089264</v>
      </c>
      <c r="O36" s="24" t="n">
        <f aca="false">Inputs!$C$13*O22*IF(AND($C$7="stranded",O$19&gt;Inputs!$C$9),Inputs!$C$56,1)+IF(O$19&gt;=$C$9,Inputs!$C$39*O22,0)</f>
        <v>2.41904948281942</v>
      </c>
    </row>
    <row r="37" customFormat="false" ht="15" hidden="false" customHeight="false" outlineLevel="0" collapsed="false">
      <c r="B37" s="9" t="s">
        <v>159</v>
      </c>
      <c r="E37" s="24" t="n">
        <f aca="false">IF(OR(E$19=1,E$19=2),Inputs!$C$31*Inputs!$C$30/2,0)+IF(AND(E$19=2,$C$9&gt;Inputs!$C$33),Inputs!$C$31*Inputs!$C$30*Inputs!$C$36*($C$9-Inputs!$C$33),0)</f>
        <v>84</v>
      </c>
      <c r="F37" s="24" t="n">
        <f aca="false">IF(OR(F$19=1,F$19=2),Inputs!$C$31*Inputs!$C$30/2,0)+IF(AND(F$19=2,$C$9&gt;Inputs!$C$33),Inputs!$C$31*Inputs!$C$30*Inputs!$C$36*($C$9-Inputs!$C$33),0)</f>
        <v>84</v>
      </c>
      <c r="G37" s="24" t="n">
        <f aca="false">IF(OR(G$19=1,G$19=2),Inputs!$C$31*Inputs!$C$30/2,0)+IF(AND(G$19=2,$C$9&gt;Inputs!$C$33),Inputs!$C$31*Inputs!$C$30*Inputs!$C$36*($C$9-Inputs!$C$33),0)</f>
        <v>0</v>
      </c>
      <c r="H37" s="24" t="n">
        <f aca="false">IF(OR(H$19=1,H$19=2),Inputs!$C$31*Inputs!$C$30/2,0)+IF(AND(H$19=2,$C$9&gt;Inputs!$C$33),Inputs!$C$31*Inputs!$C$30*Inputs!$C$36*($C$9-Inputs!$C$33),0)</f>
        <v>0</v>
      </c>
      <c r="I37" s="24" t="n">
        <f aca="false">IF(OR(I$19=1,I$19=2),Inputs!$C$31*Inputs!$C$30/2,0)+IF(AND(I$19=2,$C$9&gt;Inputs!$C$33),Inputs!$C$31*Inputs!$C$30*Inputs!$C$36*($C$9-Inputs!$C$33),0)</f>
        <v>0</v>
      </c>
      <c r="J37" s="24" t="n">
        <f aca="false">IF(OR(J$19=1,J$19=2),Inputs!$C$31*Inputs!$C$30/2,0)+IF(AND(J$19=2,$C$9&gt;Inputs!$C$33),Inputs!$C$31*Inputs!$C$30*Inputs!$C$36*($C$9-Inputs!$C$33),0)</f>
        <v>0</v>
      </c>
      <c r="K37" s="24" t="n">
        <f aca="false">IF(OR(K$19=1,K$19=2),Inputs!$C$31*Inputs!$C$30/2,0)+IF(AND(K$19=2,$C$9&gt;Inputs!$C$33),Inputs!$C$31*Inputs!$C$30*Inputs!$C$36*($C$9-Inputs!$C$33),0)</f>
        <v>0</v>
      </c>
      <c r="L37" s="24" t="n">
        <f aca="false">IF(OR(L$19=1,L$19=2),Inputs!$C$31*Inputs!$C$30/2,0)+IF(AND(L$19=2,$C$9&gt;Inputs!$C$33),Inputs!$C$31*Inputs!$C$30*Inputs!$C$36*($C$9-Inputs!$C$33),0)</f>
        <v>0</v>
      </c>
      <c r="M37" s="24" t="n">
        <f aca="false">IF(OR(M$19=1,M$19=2),Inputs!$C$31*Inputs!$C$30/2,0)+IF(AND(M$19=2,$C$9&gt;Inputs!$C$33),Inputs!$C$31*Inputs!$C$30*Inputs!$C$36*($C$9-Inputs!$C$33),0)</f>
        <v>0</v>
      </c>
      <c r="N37" s="24" t="n">
        <f aca="false">IF(OR(N$19=1,N$19=2),Inputs!$C$31*Inputs!$C$30/2,0)+IF(AND(N$19=2,$C$9&gt;Inputs!$C$33),Inputs!$C$31*Inputs!$C$30*Inputs!$C$36*($C$9-Inputs!$C$33),0)</f>
        <v>0</v>
      </c>
      <c r="O37" s="24" t="n">
        <f aca="false">IF(OR(O$19=1,O$19=2),Inputs!$C$31*Inputs!$C$30/2,0)+IF(AND(O$19=2,$C$9&gt;Inputs!$C$33),Inputs!$C$31*Inputs!$C$30*Inputs!$C$36*($C$9-Inputs!$C$33),0)</f>
        <v>0</v>
      </c>
    </row>
    <row r="38" customFormat="false" ht="15" hidden="false" customHeight="false" outlineLevel="0" collapsed="false">
      <c r="B38" s="9" t="s">
        <v>160</v>
      </c>
      <c r="E38" s="24" t="n">
        <f aca="false">IF(E$19=Inputs!$C$9+1,Inputs!$C$6*IF($C$7="renew",Inputs!$C$44,IF($C$7="retrofit",Inputs!$C$45,IF($C$7="relet",Inputs!$C$55,0))),0)</f>
        <v>0</v>
      </c>
      <c r="F38" s="24" t="n">
        <f aca="false">IF(F$19=Inputs!$C$9+1,Inputs!$C$6*IF($C$7="renew",Inputs!$C$44,IF($C$7="retrofit",Inputs!$C$45,IF($C$7="relet",Inputs!$C$55,0))),0)</f>
        <v>0</v>
      </c>
      <c r="G38" s="24" t="n">
        <f aca="false">IF(G$19=Inputs!$C$9+1,Inputs!$C$6*IF($C$7="renew",Inputs!$C$44,IF($C$7="retrofit",Inputs!$C$45,IF($C$7="relet",Inputs!$C$55,0))),0)</f>
        <v>0</v>
      </c>
      <c r="H38" s="24" t="n">
        <f aca="false">IF(H$19=Inputs!$C$9+1,Inputs!$C$6*IF($C$7="renew",Inputs!$C$44,IF($C$7="retrofit",Inputs!$C$45,IF($C$7="relet",Inputs!$C$55,0))),0)</f>
        <v>0</v>
      </c>
      <c r="I38" s="24" t="n">
        <f aca="false">IF(I$19=Inputs!$C$9+1,Inputs!$C$6*IF($C$7="renew",Inputs!$C$44,IF($C$7="retrofit",Inputs!$C$45,IF($C$7="relet",Inputs!$C$55,0))),0)</f>
        <v>0</v>
      </c>
      <c r="J38" s="24" t="n">
        <f aca="false">IF(J$19=Inputs!$C$9+1,Inputs!$C$6*IF($C$7="renew",Inputs!$C$44,IF($C$7="retrofit",Inputs!$C$45,IF($C$7="relet",Inputs!$C$55,0))),0)</f>
        <v>0</v>
      </c>
      <c r="K38" s="24" t="n">
        <f aca="false">IF(K$19=Inputs!$C$9+1,Inputs!$C$6*IF($C$7="renew",Inputs!$C$44,IF($C$7="retrofit",Inputs!$C$45,IF($C$7="relet",Inputs!$C$55,0))),0)</f>
        <v>0</v>
      </c>
      <c r="L38" s="24" t="n">
        <f aca="false">IF(L$19=Inputs!$C$9+1,Inputs!$C$6*IF($C$7="renew",Inputs!$C$44,IF($C$7="retrofit",Inputs!$C$45,IF($C$7="relet",Inputs!$C$55,0))),0)</f>
        <v>0</v>
      </c>
      <c r="M38" s="24" t="n">
        <f aca="false">IF(M$19=Inputs!$C$9+1,Inputs!$C$6*IF($C$7="renew",Inputs!$C$44,IF($C$7="retrofit",Inputs!$C$45,IF($C$7="relet",Inputs!$C$55,0))),0)</f>
        <v>12.8</v>
      </c>
      <c r="N38" s="24" t="n">
        <f aca="false">IF(N$19=Inputs!$C$9+1,Inputs!$C$6*IF($C$7="renew",Inputs!$C$44,IF($C$7="retrofit",Inputs!$C$45,IF($C$7="relet",Inputs!$C$55,0))),0)</f>
        <v>0</v>
      </c>
      <c r="O38" s="24" t="n">
        <f aca="false">IF(O$19=Inputs!$C$9+1,Inputs!$C$6*IF($C$7="renew",Inputs!$C$44,IF($C$7="retrofit",Inputs!$C$45,IF($C$7="relet",Inputs!$C$55,0))),0)</f>
        <v>0</v>
      </c>
    </row>
    <row r="39" customFormat="false" ht="15" hidden="false" customHeight="false" outlineLevel="0" collapsed="false">
      <c r="B39" s="29" t="s">
        <v>161</v>
      </c>
      <c r="E39" s="30" t="n">
        <f aca="false">E35-E36-E37-E38</f>
        <v>-34.5159552</v>
      </c>
      <c r="F39" s="30" t="n">
        <f aca="false">F35-F36-F37-F38</f>
        <v>-33.197245056</v>
      </c>
      <c r="G39" s="30" t="n">
        <f aca="false">G35-G36-G37-G38</f>
        <v>79.21415009088</v>
      </c>
      <c r="H39" s="30" t="n">
        <f aca="false">H35-H36-H37-H38</f>
        <v>81.0938216246976</v>
      </c>
      <c r="I39" s="30" t="n">
        <f aca="false">I35-I36-I37-I38</f>
        <v>78.8083905614928</v>
      </c>
      <c r="J39" s="30" t="n">
        <f aca="false">J35-J36-J37-J38</f>
        <v>80.1753131389592</v>
      </c>
      <c r="K39" s="30" t="n">
        <f aca="false">K35-K36-K37-K38</f>
        <v>81.564122801727</v>
      </c>
      <c r="L39" s="30" t="n">
        <f aca="false">L35-L36-L37-L38</f>
        <v>82.9751083453721</v>
      </c>
      <c r="M39" s="30" t="n">
        <f aca="false">M35-M36-M37-M38</f>
        <v>64.3770675109407</v>
      </c>
      <c r="N39" s="30" t="n">
        <f aca="false">N35-N36-N37-N38</f>
        <v>78.4886479575893</v>
      </c>
      <c r="O39" s="30" t="n">
        <f aca="false">O35-O36-O37-O38</f>
        <v>79.8203877822012</v>
      </c>
    </row>
    <row r="40" customFormat="false" ht="15" hidden="false" customHeight="false" outlineLevel="0" collapsed="false">
      <c r="B40" s="6" t="s">
        <v>162</v>
      </c>
    </row>
    <row r="42" customFormat="false" ht="15" hidden="false" customHeight="false" outlineLevel="0" collapsed="false">
      <c r="B42" s="9" t="s">
        <v>163</v>
      </c>
      <c r="C42" s="23" t="n">
        <f aca="false">IF($C$7="renew",Inputs!$C$67,IF($C$7="retrofit",Inputs!$C$68,IF($C$7="relet",Inputs!$C$69,Inputs!$C$70)))+$C$13</f>
        <v>0.0625</v>
      </c>
    </row>
    <row r="43" customFormat="false" ht="15" hidden="false" customHeight="false" outlineLevel="0" collapsed="false">
      <c r="B43" s="9" t="s">
        <v>164</v>
      </c>
      <c r="C43" s="24" t="n">
        <f aca="false">O30+O32-O33-Inputs!$C$12*O30</f>
        <v>32.1051648944678</v>
      </c>
    </row>
    <row r="44" customFormat="false" ht="15" hidden="false" customHeight="false" outlineLevel="0" collapsed="false">
      <c r="B44" s="9" t="s">
        <v>165</v>
      </c>
      <c r="C44" s="24" t="n">
        <f aca="false">O35-$C$43</f>
        <v>50.1342723705527</v>
      </c>
    </row>
    <row r="45" customFormat="false" ht="15" hidden="false" customHeight="false" outlineLevel="0" collapsed="false">
      <c r="B45" s="9" t="s">
        <v>166</v>
      </c>
      <c r="C45" s="24" t="n">
        <f aca="false">IF($C$7="stranded",Inputs!$C$57*Inputs!$C$6-Inputs!$C$58,0)</f>
        <v>0</v>
      </c>
    </row>
    <row r="46" customFormat="false" ht="15" hidden="false" customHeight="false" outlineLevel="0" collapsed="false">
      <c r="B46" s="9" t="s">
        <v>167</v>
      </c>
      <c r="C46" s="24" t="n">
        <f aca="false">($C$43+$C$44)/$C$42+$C$45</f>
        <v>1315.83099624033</v>
      </c>
    </row>
    <row r="47" customFormat="false" ht="15" hidden="false" customHeight="false" outlineLevel="0" collapsed="false">
      <c r="B47" s="29" t="s">
        <v>168</v>
      </c>
      <c r="C47" s="30" t="n">
        <f aca="false">$C$46*(1-Inputs!$C$66)</f>
        <v>1296.09353129672</v>
      </c>
    </row>
    <row r="48" customFormat="false" ht="15" hidden="false" customHeight="false" outlineLevel="0" collapsed="false">
      <c r="B48" s="9" t="s">
        <v>169</v>
      </c>
      <c r="C48" s="24" t="n">
        <f aca="false">$C$17*(1+Inputs!$C$65)</f>
        <v>918</v>
      </c>
    </row>
    <row r="50" customFormat="false" ht="15" hidden="false" customHeight="false" outlineLevel="0" collapsed="false">
      <c r="B50" s="25" t="s">
        <v>170</v>
      </c>
      <c r="C50" s="26"/>
      <c r="D50" s="26" t="n">
        <v>0</v>
      </c>
      <c r="E50" s="26" t="n">
        <v>1</v>
      </c>
      <c r="F50" s="26" t="n">
        <v>2</v>
      </c>
      <c r="G50" s="26" t="n">
        <v>3</v>
      </c>
      <c r="H50" s="26" t="n">
        <v>4</v>
      </c>
      <c r="I50" s="26" t="n">
        <v>5</v>
      </c>
      <c r="J50" s="26" t="n">
        <v>6</v>
      </c>
      <c r="K50" s="26" t="n">
        <v>7</v>
      </c>
      <c r="L50" s="26" t="n">
        <v>8</v>
      </c>
      <c r="M50" s="26" t="n">
        <v>9</v>
      </c>
      <c r="N50" s="26" t="n">
        <v>10</v>
      </c>
    </row>
    <row r="51" customFormat="false" ht="15" hidden="false" customHeight="false" outlineLevel="0" collapsed="false">
      <c r="B51" s="29" t="s">
        <v>171</v>
      </c>
      <c r="D51" s="30" t="n">
        <f aca="false">-$C$48</f>
        <v>-918</v>
      </c>
      <c r="E51" s="30" t="n">
        <f aca="false">E39</f>
        <v>-34.5159552</v>
      </c>
      <c r="F51" s="30" t="n">
        <f aca="false">F39</f>
        <v>-33.197245056</v>
      </c>
      <c r="G51" s="30" t="n">
        <f aca="false">G39</f>
        <v>79.21415009088</v>
      </c>
      <c r="H51" s="30" t="n">
        <f aca="false">H39</f>
        <v>81.0938216246976</v>
      </c>
      <c r="I51" s="30" t="n">
        <f aca="false">I39</f>
        <v>78.8083905614928</v>
      </c>
      <c r="J51" s="30" t="n">
        <f aca="false">J39</f>
        <v>80.1753131389592</v>
      </c>
      <c r="K51" s="30" t="n">
        <f aca="false">K39</f>
        <v>81.564122801727</v>
      </c>
      <c r="L51" s="30" t="n">
        <f aca="false">L39</f>
        <v>82.9751083453721</v>
      </c>
      <c r="M51" s="30" t="n">
        <f aca="false">M39</f>
        <v>64.3770675109407</v>
      </c>
      <c r="N51" s="30" t="n">
        <f aca="false">N39+$C$47</f>
        <v>1374.58217925431</v>
      </c>
    </row>
    <row r="52" customFormat="false" ht="15" hidden="false" customHeight="false" outlineLevel="0" collapsed="false">
      <c r="B52" s="29" t="s">
        <v>172</v>
      </c>
      <c r="C52" s="31" t="n">
        <f aca="false">IRR(D51:N51,0.08)</f>
        <v>0.0812565329528942</v>
      </c>
    </row>
    <row r="54" customFormat="false" ht="15" hidden="false" customHeight="false" outlineLevel="0" collapsed="false">
      <c r="B54" s="9" t="s">
        <v>180</v>
      </c>
      <c r="C54" s="24" t="n">
        <f aca="false">Inputs!$C$77*$C$17</f>
        <v>495</v>
      </c>
    </row>
    <row r="55" customFormat="false" ht="15" hidden="false" customHeight="false" outlineLevel="0" collapsed="false">
      <c r="B55" s="9" t="s">
        <v>181</v>
      </c>
      <c r="C55" s="24" t="n">
        <f aca="false">$C$54*Inputs!$C$78/(1-(1+Inputs!$C$78)^(-Inputs!$C$80))</f>
        <v>38.7222255150756</v>
      </c>
    </row>
    <row r="56" customFormat="false" ht="15" hidden="false" customHeight="false" outlineLevel="0" collapsed="false">
      <c r="B56" s="9" t="s">
        <v>182</v>
      </c>
      <c r="C56" s="24" t="n">
        <f aca="false">$C$54*(1+Inputs!$C$78)^(Inputs!$C$81-Inputs!$C$79)-$C$55*((1+Inputs!$C$78)^(Inputs!$C$81-Inputs!$C$79)-1)/Inputs!$C$78</f>
        <v>444.140876065435</v>
      </c>
    </row>
    <row r="57" customFormat="false" ht="15" hidden="false" customHeight="false" outlineLevel="0" collapsed="false">
      <c r="B57" s="9" t="s">
        <v>183</v>
      </c>
      <c r="C57" s="20" t="n">
        <f aca="false">IF($C$7="renew",1,0)</f>
        <v>1</v>
      </c>
    </row>
    <row r="58" customFormat="false" ht="15" hidden="false" customHeight="false" outlineLevel="0" collapsed="false">
      <c r="B58" s="9" t="s">
        <v>184</v>
      </c>
      <c r="C58" s="20" t="n">
        <f aca="false">IF($C$57=1,Inputs!$C$86,Inputs!$C$87)</f>
        <v>20</v>
      </c>
    </row>
    <row r="59" customFormat="false" ht="15" hidden="false" customHeight="false" outlineLevel="0" collapsed="false">
      <c r="B59" s="9" t="s">
        <v>185</v>
      </c>
      <c r="C59" s="24" t="n">
        <f aca="false">IF($C$57=1,INDEX($E$35:$O$35,(Inputs!$C$81+1))-INDEX($E$36:$O$36,(Inputs!$C$81+1)),INDEX($E$30:$O$30,(Inputs!$C$81+1))+INDEX($E$32:$O$32,(Inputs!$C$81+1))-INDEX($E$33:$O$33,(Inputs!$C$81+1))-Inputs!$C$12*INDEX($E$30:$O$30,(Inputs!$C$81+1))-Inputs!$C$39*(1+Inputs!$C$11)^((Inputs!$C$81+1)-1))</f>
        <v>82.9751083453721</v>
      </c>
    </row>
    <row r="60" customFormat="false" ht="15" hidden="false" customHeight="false" outlineLevel="0" collapsed="false">
      <c r="B60" s="9" t="s">
        <v>186</v>
      </c>
      <c r="C60" s="24" t="n">
        <f aca="false">$C$59/Inputs!$C$84</f>
        <v>59.2679345324087</v>
      </c>
    </row>
    <row r="61" customFormat="false" ht="15" hidden="false" customHeight="false" outlineLevel="0" collapsed="false">
      <c r="B61" s="9" t="s">
        <v>187</v>
      </c>
      <c r="C61" s="24" t="n">
        <f aca="false">$C$60*(1-(1+Inputs!$C$83)^(-$C$58))/Inputs!$C$83</f>
        <v>653.044166181567</v>
      </c>
    </row>
    <row r="62" customFormat="false" ht="15" hidden="false" customHeight="false" outlineLevel="0" collapsed="false">
      <c r="B62" s="9" t="s">
        <v>188</v>
      </c>
      <c r="C62" s="24" t="n">
        <f aca="false">$C$59/$C$42</f>
        <v>1327.60173352595</v>
      </c>
    </row>
    <row r="63" customFormat="false" ht="15" hidden="false" customHeight="false" outlineLevel="0" collapsed="false">
      <c r="B63" s="9" t="s">
        <v>189</v>
      </c>
      <c r="C63" s="24" t="n">
        <f aca="false">Inputs!$C$85*$C$62</f>
        <v>730.180953439275</v>
      </c>
    </row>
    <row r="64" customFormat="false" ht="15" hidden="false" customHeight="false" outlineLevel="0" collapsed="false">
      <c r="B64" s="29" t="s">
        <v>190</v>
      </c>
      <c r="C64" s="30" t="n">
        <f aca="false">MIN($C$61,$C$63)</f>
        <v>653.044166181567</v>
      </c>
    </row>
    <row r="65" customFormat="false" ht="15" hidden="false" customHeight="false" outlineLevel="0" collapsed="false">
      <c r="B65" s="29" t="s">
        <v>191</v>
      </c>
      <c r="C65" s="30" t="n">
        <f aca="false">$C$64*(1-Inputs!$C$82)-$C$56</f>
        <v>202.372848454317</v>
      </c>
    </row>
    <row r="66" customFormat="false" ht="15" hidden="false" customHeight="false" outlineLevel="0" collapsed="false">
      <c r="B66" s="9" t="s">
        <v>192</v>
      </c>
      <c r="C66" s="24" t="n">
        <f aca="false">$C$64*Inputs!$C$83/(1-(1+Inputs!$C$83)^(-$C$58))</f>
        <v>59.2679345324087</v>
      </c>
    </row>
    <row r="68" customFormat="false" ht="15" hidden="false" customHeight="false" outlineLevel="0" collapsed="false">
      <c r="B68" s="25" t="s">
        <v>193</v>
      </c>
      <c r="C68" s="26"/>
      <c r="D68" s="26" t="n">
        <v>0</v>
      </c>
      <c r="E68" s="26" t="n">
        <v>1</v>
      </c>
      <c r="F68" s="26" t="n">
        <v>2</v>
      </c>
      <c r="G68" s="26" t="n">
        <v>3</v>
      </c>
      <c r="H68" s="26" t="n">
        <v>4</v>
      </c>
      <c r="I68" s="26" t="n">
        <v>5</v>
      </c>
      <c r="J68" s="26" t="n">
        <v>6</v>
      </c>
      <c r="K68" s="26" t="n">
        <v>7</v>
      </c>
      <c r="L68" s="26" t="n">
        <v>8</v>
      </c>
      <c r="M68" s="26" t="n">
        <v>9</v>
      </c>
      <c r="N68" s="26" t="n">
        <v>10</v>
      </c>
    </row>
    <row r="69" customFormat="false" ht="15" hidden="false" customHeight="false" outlineLevel="0" collapsed="false">
      <c r="B69" s="9" t="s">
        <v>194</v>
      </c>
      <c r="E69" s="24" t="n">
        <f aca="false">$C$54</f>
        <v>495</v>
      </c>
      <c r="F69" s="24" t="n">
        <f aca="false">IF(F$68=Inputs!$C$81+1,$C$64,E73)</f>
        <v>495</v>
      </c>
      <c r="G69" s="24" t="n">
        <f aca="false">IF(G$68=Inputs!$C$81+1,$C$64,F73)</f>
        <v>495</v>
      </c>
      <c r="H69" s="24" t="n">
        <f aca="false">IF(H$68=Inputs!$C$81+1,$C$64,G73)</f>
        <v>485.977774484924</v>
      </c>
      <c r="I69" s="24" t="n">
        <f aca="false">IF(I$68=Inputs!$C$81+1,$C$64,H73)</f>
        <v>476.414215438944</v>
      </c>
      <c r="J69" s="24" t="n">
        <f aca="false">IF(J$68=Inputs!$C$81+1,$C$64,I73)</f>
        <v>466.276842850205</v>
      </c>
      <c r="K69" s="24" t="n">
        <f aca="false">IF(K$68=Inputs!$C$81+1,$C$64,J73)</f>
        <v>455.531227906142</v>
      </c>
      <c r="L69" s="24" t="n">
        <f aca="false">IF(L$68=Inputs!$C$81+1,$C$64,K73)</f>
        <v>653.044166181567</v>
      </c>
      <c r="M69" s="24" t="n">
        <f aca="false">IF(M$68=Inputs!$C$81+1,$C$64,L73)</f>
        <v>636.224102450961</v>
      </c>
      <c r="N69" s="24" t="n">
        <f aca="false">IF(N$68=Inputs!$C$81+1,$C$64,M73)</f>
        <v>618.310734577864</v>
      </c>
    </row>
    <row r="70" customFormat="false" ht="15" hidden="false" customHeight="false" outlineLevel="0" collapsed="false">
      <c r="B70" s="9" t="s">
        <v>195</v>
      </c>
      <c r="E70" s="23" t="n">
        <f aca="false">IF(E$68&lt;=Inputs!$C$81,Inputs!$C$78,Inputs!$C$83)</f>
        <v>0.06</v>
      </c>
      <c r="F70" s="23" t="n">
        <f aca="false">IF(F$68&lt;=Inputs!$C$81,Inputs!$C$78,Inputs!$C$83)</f>
        <v>0.06</v>
      </c>
      <c r="G70" s="23" t="n">
        <f aca="false">IF(G$68&lt;=Inputs!$C$81,Inputs!$C$78,Inputs!$C$83)</f>
        <v>0.06</v>
      </c>
      <c r="H70" s="23" t="n">
        <f aca="false">IF(H$68&lt;=Inputs!$C$81,Inputs!$C$78,Inputs!$C$83)</f>
        <v>0.06</v>
      </c>
      <c r="I70" s="23" t="n">
        <f aca="false">IF(I$68&lt;=Inputs!$C$81,Inputs!$C$78,Inputs!$C$83)</f>
        <v>0.06</v>
      </c>
      <c r="J70" s="23" t="n">
        <f aca="false">IF(J$68&lt;=Inputs!$C$81,Inputs!$C$78,Inputs!$C$83)</f>
        <v>0.06</v>
      </c>
      <c r="K70" s="23" t="n">
        <f aca="false">IF(K$68&lt;=Inputs!$C$81,Inputs!$C$78,Inputs!$C$83)</f>
        <v>0.06</v>
      </c>
      <c r="L70" s="23" t="n">
        <f aca="false">IF(L$68&lt;=Inputs!$C$81,Inputs!$C$78,Inputs!$C$83)</f>
        <v>0.065</v>
      </c>
      <c r="M70" s="23" t="n">
        <f aca="false">IF(M$68&lt;=Inputs!$C$81,Inputs!$C$78,Inputs!$C$83)</f>
        <v>0.065</v>
      </c>
      <c r="N70" s="23" t="n">
        <f aca="false">IF(N$68&lt;=Inputs!$C$81,Inputs!$C$78,Inputs!$C$83)</f>
        <v>0.065</v>
      </c>
    </row>
    <row r="71" customFormat="false" ht="15" hidden="false" customHeight="false" outlineLevel="0" collapsed="false">
      <c r="B71" s="9" t="s">
        <v>196</v>
      </c>
      <c r="E71" s="24" t="n">
        <f aca="false">E69*E70</f>
        <v>29.7</v>
      </c>
      <c r="F71" s="24" t="n">
        <f aca="false">F69*F70</f>
        <v>29.7</v>
      </c>
      <c r="G71" s="24" t="n">
        <f aca="false">G69*G70</f>
        <v>29.7</v>
      </c>
      <c r="H71" s="24" t="n">
        <f aca="false">H69*H70</f>
        <v>29.1586664690955</v>
      </c>
      <c r="I71" s="24" t="n">
        <f aca="false">I69*I70</f>
        <v>28.5848529263367</v>
      </c>
      <c r="J71" s="24" t="n">
        <f aca="false">J69*J70</f>
        <v>27.9766105710123</v>
      </c>
      <c r="K71" s="24" t="n">
        <f aca="false">K69*K70</f>
        <v>27.3318736743685</v>
      </c>
      <c r="L71" s="24" t="n">
        <f aca="false">L69*L70</f>
        <v>42.4478708018019</v>
      </c>
      <c r="M71" s="24" t="n">
        <f aca="false">M69*M70</f>
        <v>41.3545666593124</v>
      </c>
      <c r="N71" s="24" t="n">
        <f aca="false">N69*N70</f>
        <v>40.1901977475612</v>
      </c>
    </row>
    <row r="72" customFormat="false" ht="15" hidden="false" customHeight="false" outlineLevel="0" collapsed="false">
      <c r="B72" s="9" t="s">
        <v>197</v>
      </c>
      <c r="E72" s="24" t="n">
        <f aca="false">IF(E$68&lt;=Inputs!$C$81,IF(E$68&lt;=Inputs!$C$79,0,$C$55-E71),$C$66-E71)</f>
        <v>0</v>
      </c>
      <c r="F72" s="24" t="n">
        <f aca="false">IF(F$68&lt;=Inputs!$C$81,IF(F$68&lt;=Inputs!$C$79,0,$C$55-F71),$C$66-F71)</f>
        <v>0</v>
      </c>
      <c r="G72" s="24" t="n">
        <f aca="false">IF(G$68&lt;=Inputs!$C$81,IF(G$68&lt;=Inputs!$C$79,0,$C$55-G71),$C$66-G71)</f>
        <v>9.0222255150756</v>
      </c>
      <c r="H72" s="24" t="n">
        <f aca="false">IF(H$68&lt;=Inputs!$C$81,IF(H$68&lt;=Inputs!$C$79,0,$C$55-H71),$C$66-H71)</f>
        <v>9.56355904598014</v>
      </c>
      <c r="I72" s="24" t="n">
        <f aca="false">IF(I$68&lt;=Inputs!$C$81,IF(I$68&lt;=Inputs!$C$79,0,$C$55-I71),$C$66-I71)</f>
        <v>10.1373725887389</v>
      </c>
      <c r="J72" s="24" t="n">
        <f aca="false">IF(J$68&lt;=Inputs!$C$81,IF(J$68&lt;=Inputs!$C$79,0,$C$55-J71),$C$66-J71)</f>
        <v>10.7456149440633</v>
      </c>
      <c r="K72" s="24" t="n">
        <f aca="false">IF(K$68&lt;=Inputs!$C$81,IF(K$68&lt;=Inputs!$C$79,0,$C$55-K71),$C$66-K71)</f>
        <v>11.3903518407071</v>
      </c>
      <c r="L72" s="24" t="n">
        <f aca="false">IF(L$68&lt;=Inputs!$C$81,IF(L$68&lt;=Inputs!$C$79,0,$C$55-L71),$C$66-L71)</f>
        <v>16.8200637306068</v>
      </c>
      <c r="M72" s="24" t="n">
        <f aca="false">IF(M$68&lt;=Inputs!$C$81,IF(M$68&lt;=Inputs!$C$79,0,$C$55-M71),$C$66-M71)</f>
        <v>17.9133678730962</v>
      </c>
      <c r="N72" s="24" t="n">
        <f aca="false">IF(N$68&lt;=Inputs!$C$81,IF(N$68&lt;=Inputs!$C$79,0,$C$55-N71),$C$66-N71)</f>
        <v>19.0777367848475</v>
      </c>
    </row>
    <row r="73" customFormat="false" ht="15" hidden="false" customHeight="false" outlineLevel="0" collapsed="false">
      <c r="B73" s="29" t="s">
        <v>198</v>
      </c>
      <c r="E73" s="30" t="n">
        <f aca="false">E69-E72</f>
        <v>495</v>
      </c>
      <c r="F73" s="30" t="n">
        <f aca="false">F69-F72</f>
        <v>495</v>
      </c>
      <c r="G73" s="30" t="n">
        <f aca="false">G69-G72</f>
        <v>485.977774484924</v>
      </c>
      <c r="H73" s="30" t="n">
        <f aca="false">H69-H72</f>
        <v>476.414215438944</v>
      </c>
      <c r="I73" s="30" t="n">
        <f aca="false">I69-I72</f>
        <v>466.276842850205</v>
      </c>
      <c r="J73" s="30" t="n">
        <f aca="false">J69-J72</f>
        <v>455.531227906142</v>
      </c>
      <c r="K73" s="30" t="n">
        <f aca="false">K69-K72</f>
        <v>444.140876065435</v>
      </c>
      <c r="L73" s="30" t="n">
        <f aca="false">L69-L72</f>
        <v>636.224102450961</v>
      </c>
      <c r="M73" s="30" t="n">
        <f aca="false">M69-M72</f>
        <v>618.310734577864</v>
      </c>
      <c r="N73" s="30" t="n">
        <f aca="false">N69-N72</f>
        <v>599.232997793017</v>
      </c>
    </row>
    <row r="74" customFormat="false" ht="15" hidden="false" customHeight="false" outlineLevel="0" collapsed="false">
      <c r="B74" s="9" t="s">
        <v>199</v>
      </c>
      <c r="E74" s="24" t="n">
        <f aca="false">E71+E72</f>
        <v>29.7</v>
      </c>
      <c r="F74" s="24" t="n">
        <f aca="false">F71+F72</f>
        <v>29.7</v>
      </c>
      <c r="G74" s="24" t="n">
        <f aca="false">G71+G72</f>
        <v>38.7222255150756</v>
      </c>
      <c r="H74" s="24" t="n">
        <f aca="false">H71+H72</f>
        <v>38.7222255150756</v>
      </c>
      <c r="I74" s="24" t="n">
        <f aca="false">I71+I72</f>
        <v>38.7222255150756</v>
      </c>
      <c r="J74" s="24" t="n">
        <f aca="false">J71+J72</f>
        <v>38.7222255150756</v>
      </c>
      <c r="K74" s="24" t="n">
        <f aca="false">K71+K72</f>
        <v>38.7222255150756</v>
      </c>
      <c r="L74" s="24" t="n">
        <f aca="false">L71+L72</f>
        <v>59.2679345324087</v>
      </c>
      <c r="M74" s="24" t="n">
        <f aca="false">M71+M72</f>
        <v>59.2679345324087</v>
      </c>
      <c r="N74" s="24" t="n">
        <f aca="false">N71+N72</f>
        <v>59.2679345324087</v>
      </c>
    </row>
    <row r="75" customFormat="false" ht="15" hidden="false" customHeight="false" outlineLevel="0" collapsed="false">
      <c r="B75" s="9" t="s">
        <v>200</v>
      </c>
      <c r="E75" s="22" t="n">
        <f aca="false">(E35-E36)/E74</f>
        <v>1.66612945454545</v>
      </c>
      <c r="F75" s="22" t="n">
        <f aca="false">(F35-F36)/F74</f>
        <v>1.71053046949495</v>
      </c>
      <c r="G75" s="22" t="n">
        <f aca="false">(G35-G36)/G74</f>
        <v>2.04570241088131</v>
      </c>
      <c r="H75" s="22" t="n">
        <f aca="false">(H35-H36)/H74</f>
        <v>2.09424485669414</v>
      </c>
      <c r="I75" s="22" t="n">
        <f aca="false">(I35-I36)/I74</f>
        <v>2.03522368647976</v>
      </c>
      <c r="J75" s="22" t="n">
        <f aca="false">(J35-J36)/J74</f>
        <v>2.07052441001215</v>
      </c>
      <c r="K75" s="22" t="n">
        <f aca="false">(K35-K36)/K74</f>
        <v>2.10639036668933</v>
      </c>
      <c r="L75" s="22" t="n">
        <f aca="false">(L35-L36)/L74</f>
        <v>1.4</v>
      </c>
      <c r="M75" s="22" t="n">
        <f aca="false">(M35-M36)/M74</f>
        <v>1.30217238241598</v>
      </c>
      <c r="N75" s="22" t="n">
        <f aca="false">(N35-N36)/N74</f>
        <v>1.32430206277343</v>
      </c>
    </row>
    <row r="76" customFormat="false" ht="15" hidden="false" customHeight="false" outlineLevel="0" collapsed="false">
      <c r="B76" s="29" t="s">
        <v>201</v>
      </c>
      <c r="C76" s="32" t="n">
        <f aca="false">MIN(I75:K75)</f>
        <v>2.03522368647976</v>
      </c>
    </row>
    <row r="78" customFormat="false" ht="15" hidden="false" customHeight="false" outlineLevel="0" collapsed="false">
      <c r="B78" s="25" t="s">
        <v>202</v>
      </c>
      <c r="C78" s="26"/>
      <c r="D78" s="26" t="n">
        <v>0</v>
      </c>
      <c r="E78" s="26" t="n">
        <v>1</v>
      </c>
      <c r="F78" s="26" t="n">
        <v>2</v>
      </c>
      <c r="G78" s="26" t="n">
        <v>3</v>
      </c>
      <c r="H78" s="26" t="n">
        <v>4</v>
      </c>
      <c r="I78" s="26" t="n">
        <v>5</v>
      </c>
      <c r="J78" s="26" t="n">
        <v>6</v>
      </c>
      <c r="K78" s="26" t="n">
        <v>7</v>
      </c>
      <c r="L78" s="26" t="n">
        <v>8</v>
      </c>
      <c r="M78" s="26" t="n">
        <v>9</v>
      </c>
      <c r="N78" s="26" t="n">
        <v>10</v>
      </c>
    </row>
    <row r="79" customFormat="false" ht="15" hidden="false" customHeight="false" outlineLevel="0" collapsed="false">
      <c r="B79" s="9" t="s">
        <v>203</v>
      </c>
      <c r="D79" s="24" t="n">
        <f aca="false">$C$54*(1-Inputs!$C$82)</f>
        <v>490.05</v>
      </c>
      <c r="E79" s="24" t="n">
        <f aca="false">-E74+IF(E$68=Inputs!$C$81,$C$65,0)</f>
        <v>-29.7</v>
      </c>
      <c r="F79" s="24" t="n">
        <f aca="false">-F74+IF(F$68=Inputs!$C$81,$C$65,0)</f>
        <v>-29.7</v>
      </c>
      <c r="G79" s="24" t="n">
        <f aca="false">-G74+IF(G$68=Inputs!$C$81,$C$65,0)</f>
        <v>-38.7222255150756</v>
      </c>
      <c r="H79" s="24" t="n">
        <f aca="false">-H74+IF(H$68=Inputs!$C$81,$C$65,0)</f>
        <v>-38.7222255150756</v>
      </c>
      <c r="I79" s="24" t="n">
        <f aca="false">-I74+IF(I$68=Inputs!$C$81,$C$65,0)</f>
        <v>-38.7222255150756</v>
      </c>
      <c r="J79" s="24" t="n">
        <f aca="false">-J74+IF(J$68=Inputs!$C$81,$C$65,0)</f>
        <v>-38.7222255150756</v>
      </c>
      <c r="K79" s="24" t="n">
        <f aca="false">-K74+IF(K$68=Inputs!$C$81,$C$65,0)</f>
        <v>163.650622939241</v>
      </c>
      <c r="L79" s="24" t="n">
        <f aca="false">-L74+IF(L$68=Inputs!$C$81,$C$65,0)</f>
        <v>-59.2679345324087</v>
      </c>
      <c r="M79" s="24" t="n">
        <f aca="false">-M74+IF(M$68=Inputs!$C$81,$C$65,0)</f>
        <v>-59.2679345324087</v>
      </c>
      <c r="N79" s="24" t="n">
        <f aca="false">-N74+IF(N$68=Inputs!$C$81,$C$65,0)-N73</f>
        <v>-658.500932325425</v>
      </c>
    </row>
    <row r="80" customFormat="false" ht="15" hidden="false" customHeight="false" outlineLevel="0" collapsed="false">
      <c r="B80" s="29" t="s">
        <v>202</v>
      </c>
      <c r="D80" s="30" t="n">
        <f aca="false">D51+D79</f>
        <v>-427.95</v>
      </c>
      <c r="E80" s="30" t="n">
        <f aca="false">E51+E79</f>
        <v>-64.2159552</v>
      </c>
      <c r="F80" s="30" t="n">
        <f aca="false">F51+F79</f>
        <v>-62.897245056</v>
      </c>
      <c r="G80" s="30" t="n">
        <f aca="false">G51+G79</f>
        <v>40.4919245758044</v>
      </c>
      <c r="H80" s="30" t="n">
        <f aca="false">H51+H79</f>
        <v>42.371596109622</v>
      </c>
      <c r="I80" s="30" t="n">
        <f aca="false">I51+I79</f>
        <v>40.0861650464172</v>
      </c>
      <c r="J80" s="30" t="n">
        <f aca="false">J51+J79</f>
        <v>41.4530876238836</v>
      </c>
      <c r="K80" s="30" t="n">
        <f aca="false">K51+K79</f>
        <v>245.214745740968</v>
      </c>
      <c r="L80" s="30" t="n">
        <f aca="false">L51+L79</f>
        <v>23.7071738129634</v>
      </c>
      <c r="M80" s="30" t="n">
        <f aca="false">M51+M79</f>
        <v>5.10913297853207</v>
      </c>
      <c r="N80" s="30" t="n">
        <f aca="false">N51+N79</f>
        <v>716.081246928888</v>
      </c>
    </row>
    <row r="81" customFormat="false" ht="15" hidden="false" customHeight="false" outlineLevel="0" collapsed="false">
      <c r="B81" s="29" t="s">
        <v>204</v>
      </c>
      <c r="C81" s="31" t="n">
        <f aca="false">IRR(D80:N80,0.08)</f>
        <v>0.0958737096909254</v>
      </c>
    </row>
    <row r="82" customFormat="false" ht="15" hidden="false" customHeight="false" outlineLevel="0" collapsed="false">
      <c r="B82" s="9" t="s">
        <v>205</v>
      </c>
      <c r="C82" s="33" t="n">
        <f aca="false">SUMIF(D80:N80,"&gt;0")/-SUMIF(D80:N80,"&lt;0")</f>
        <v>2.07997048315328</v>
      </c>
    </row>
    <row r="83" customFormat="false" ht="15" hidden="false" customHeight="false" outlineLevel="0" collapsed="false">
      <c r="B83" s="9" t="s">
        <v>206</v>
      </c>
      <c r="C83" s="24" t="n">
        <f aca="false">-D80</f>
        <v>427.95</v>
      </c>
    </row>
    <row r="85" customFormat="false" ht="15" hidden="false" customHeight="false" outlineLevel="0" collapsed="false">
      <c r="B85" s="29" t="s">
        <v>262</v>
      </c>
      <c r="C85" s="36" t="n">
        <f aca="false">0</f>
        <v>0</v>
      </c>
    </row>
    <row r="86" customFormat="false" ht="15" hidden="false" customHeight="false" outlineLevel="0" collapsed="false">
      <c r="B86" s="29" t="s">
        <v>263</v>
      </c>
      <c r="C86" s="36" t="n">
        <f aca="false">Thresholds!I28</f>
        <v>0</v>
      </c>
    </row>
    <row r="87" customFormat="false" ht="15" hidden="false" customHeight="false" outlineLevel="0" collapsed="false">
      <c r="B87" s="29" t="s">
        <v>264</v>
      </c>
      <c r="C87" s="37" t="n">
        <f aca="false">C86-C85</f>
        <v>0</v>
      </c>
    </row>
    <row r="88" customFormat="false" ht="15" hidden="false" customHeight="false" outlineLevel="0" collapsed="false">
      <c r="B88" s="29" t="s">
        <v>265</v>
      </c>
      <c r="C88" s="38" t="str">
        <f aca="false">IF(ABS(C87)&lt;=0.000001,"OK","FAIL")</f>
        <v>OK</v>
      </c>
    </row>
    <row r="91" customFormat="false" ht="15" hidden="false" customHeight="false" outlineLevel="0" collapsed="false">
      <c r="B91" s="7" t="s">
        <v>266</v>
      </c>
      <c r="C91" s="8"/>
      <c r="D91" s="8"/>
      <c r="E91" s="8"/>
      <c r="F91" s="8"/>
      <c r="G91" s="8"/>
      <c r="H91" s="8"/>
      <c r="I91" s="8"/>
      <c r="J91" s="8"/>
      <c r="K91" s="8"/>
      <c r="L91" s="8"/>
      <c r="M91" s="8"/>
      <c r="N91" s="8"/>
      <c r="O91" s="8"/>
    </row>
    <row r="92" customFormat="false" ht="15" hidden="false" customHeight="false" outlineLevel="0" collapsed="false">
      <c r="B92" s="29" t="s">
        <v>267</v>
      </c>
      <c r="C92" s="35" t="n">
        <v>0.0399926393014028</v>
      </c>
      <c r="D92" s="6" t="s">
        <v>261</v>
      </c>
    </row>
    <row r="93" customFormat="false" ht="15" hidden="false" customHeight="false" outlineLevel="0" collapsed="false">
      <c r="B93" s="9" t="s">
        <v>130</v>
      </c>
      <c r="C93" s="18" t="str">
        <f aca="false">Inputs!$C$42</f>
        <v>renew</v>
      </c>
    </row>
    <row r="94" customFormat="false" ht="15" hidden="false" customHeight="false" outlineLevel="0" collapsed="false">
      <c r="B94" s="9" t="s">
        <v>131</v>
      </c>
      <c r="C94" s="19" t="n">
        <f aca="false">$C$92</f>
        <v>0.0399926393014028</v>
      </c>
    </row>
    <row r="95" customFormat="false" ht="15" hidden="false" customHeight="false" outlineLevel="0" collapsed="false">
      <c r="B95" s="9" t="s">
        <v>132</v>
      </c>
      <c r="C95" s="20" t="n">
        <f aca="false">Inputs!$C$32</f>
        <v>3</v>
      </c>
    </row>
    <row r="96" customFormat="false" ht="15" hidden="false" customHeight="false" outlineLevel="0" collapsed="false">
      <c r="B96" s="9" t="s">
        <v>133</v>
      </c>
      <c r="C96" s="13" t="n">
        <v>0</v>
      </c>
    </row>
    <row r="97" customFormat="false" ht="15" hidden="false" customHeight="false" outlineLevel="0" collapsed="false">
      <c r="B97" s="9" t="s">
        <v>134</v>
      </c>
      <c r="C97" s="21" t="n">
        <f aca="false">Inputs!$C$60</f>
        <v>0.45</v>
      </c>
    </row>
    <row r="98" customFormat="false" ht="15" hidden="false" customHeight="false" outlineLevel="0" collapsed="false">
      <c r="B98" s="9" t="s">
        <v>135</v>
      </c>
      <c r="C98" s="22" t="n">
        <f aca="false">Inputs!$C$61</f>
        <v>1.55</v>
      </c>
    </row>
    <row r="99" customFormat="false" ht="15" hidden="false" customHeight="false" outlineLevel="0" collapsed="false">
      <c r="B99" s="9" t="s">
        <v>136</v>
      </c>
      <c r="C99" s="23" t="n">
        <f aca="false">Inputs!$C$71</f>
        <v>0</v>
      </c>
    </row>
    <row r="100" customFormat="false" ht="15" hidden="false" customHeight="false" outlineLevel="0" collapsed="false">
      <c r="B100" s="9" t="s">
        <v>30</v>
      </c>
      <c r="C100" s="22" t="n">
        <f aca="false">Inputs!$C$18</f>
        <v>1.4</v>
      </c>
    </row>
    <row r="101" customFormat="false" ht="15" hidden="false" customHeight="false" outlineLevel="0" collapsed="false">
      <c r="B101" s="9" t="s">
        <v>137</v>
      </c>
      <c r="C101" s="19" t="n">
        <f aca="false">Inputs!$C$43</f>
        <v>0.9</v>
      </c>
    </row>
    <row r="102" customFormat="false" ht="15" hidden="false" customHeight="false" outlineLevel="0" collapsed="false">
      <c r="B102" s="9" t="s">
        <v>138</v>
      </c>
      <c r="C102" s="24" t="n">
        <f aca="false">Inputs!$C$49</f>
        <v>120</v>
      </c>
    </row>
    <row r="103" customFormat="false" ht="15" hidden="false" customHeight="false" outlineLevel="0" collapsed="false">
      <c r="B103" s="9" t="s">
        <v>139</v>
      </c>
      <c r="C103" s="24" t="n">
        <f aca="false">Inputs!$C$64</f>
        <v>900</v>
      </c>
    </row>
    <row r="104" customFormat="false" ht="15" hidden="false" customHeight="false" outlineLevel="0" collapsed="false">
      <c r="B104" s="9" t="s">
        <v>140</v>
      </c>
      <c r="C104" s="24" t="n">
        <f aca="false">Inputs!$C$6*1000*Inputs!$C$7*12*(1+Inputs!$C$8)^(Inputs!$C$9-1)/1000000</f>
        <v>60.8711509000706</v>
      </c>
    </row>
    <row r="105" customFormat="false" ht="15" hidden="false" customHeight="false" outlineLevel="0" collapsed="false">
      <c r="B105" s="25" t="s">
        <v>141</v>
      </c>
      <c r="C105" s="26"/>
      <c r="E105" s="26" t="n">
        <v>1</v>
      </c>
      <c r="F105" s="26" t="n">
        <v>2</v>
      </c>
      <c r="G105" s="26" t="n">
        <v>3</v>
      </c>
      <c r="H105" s="26" t="n">
        <v>4</v>
      </c>
      <c r="I105" s="26" t="n">
        <v>5</v>
      </c>
      <c r="J105" s="26" t="n">
        <v>6</v>
      </c>
      <c r="K105" s="26" t="n">
        <v>7</v>
      </c>
      <c r="L105" s="26" t="n">
        <v>8</v>
      </c>
      <c r="M105" s="26" t="n">
        <v>9</v>
      </c>
      <c r="N105" s="26" t="n">
        <v>10</v>
      </c>
      <c r="O105" s="26" t="n">
        <v>11</v>
      </c>
    </row>
    <row r="106" customFormat="false" ht="15" hidden="false" customHeight="false" outlineLevel="0" collapsed="false">
      <c r="B106" s="9" t="s">
        <v>142</v>
      </c>
      <c r="E106" s="24" t="n">
        <f aca="false">IF(E$105&lt;=Inputs!$C$22,Inputs!$C$21,Inputs!$C$23*(1+Inputs!$C$24)^(E$105-5)*IF(AND($C$94&lt;&gt;0,E$105&gt;=Inputs!$C$26),1+$C$94,1))</f>
        <v>61</v>
      </c>
      <c r="F106" s="24" t="n">
        <f aca="false">IF(F$105&lt;=Inputs!$C$22,Inputs!$C$21,Inputs!$C$23*(1+Inputs!$C$24)^(F$105-5)*IF(AND($C$94&lt;&gt;0,F$105&gt;=Inputs!$C$26),1+$C$94,1))</f>
        <v>61</v>
      </c>
      <c r="G106" s="24" t="n">
        <f aca="false">IF(G$105&lt;=Inputs!$C$22,Inputs!$C$21,Inputs!$C$23*(1+Inputs!$C$24)^(G$105-5)*IF(AND($C$94&lt;&gt;0,G$105&gt;=Inputs!$C$26),1+$C$94,1))</f>
        <v>61</v>
      </c>
      <c r="H106" s="24" t="n">
        <f aca="false">IF(H$105&lt;=Inputs!$C$22,Inputs!$C$21,Inputs!$C$23*(1+Inputs!$C$24)^(H$105-5)*IF(AND($C$94&lt;&gt;0,H$105&gt;=Inputs!$C$26),1+$C$94,1))</f>
        <v>61</v>
      </c>
      <c r="I106" s="24" t="n">
        <f aca="false">IF(I$105&lt;=Inputs!$C$22,Inputs!$C$21,Inputs!$C$23*(1+Inputs!$C$24)^(I$105-5)*IF(AND($C$94&lt;&gt;0,I$105&gt;=Inputs!$C$26),1+$C$94,1))</f>
        <v>69.679506833194</v>
      </c>
      <c r="J106" s="24" t="n">
        <f aca="false">IF(J$105&lt;=Inputs!$C$22,Inputs!$C$21,Inputs!$C$23*(1+Inputs!$C$24)^(J$105-5)*IF(AND($C$94&lt;&gt;0,J$105&gt;=Inputs!$C$26),1+$C$94,1))</f>
        <v>71.4214945040238</v>
      </c>
      <c r="K106" s="24" t="n">
        <f aca="false">IF(K$105&lt;=Inputs!$C$22,Inputs!$C$21,Inputs!$C$23*(1+Inputs!$C$24)^(K$105-5)*IF(AND($C$94&lt;&gt;0,K$105&gt;=Inputs!$C$26),1+$C$94,1))</f>
        <v>73.2070318666244</v>
      </c>
      <c r="L106" s="24" t="n">
        <f aca="false">IF(L$105&lt;=Inputs!$C$22,Inputs!$C$21,Inputs!$C$23*(1+Inputs!$C$24)^(L$105-5)*IF(AND($C$94&lt;&gt;0,L$105&gt;=Inputs!$C$26),1+$C$94,1))</f>
        <v>75.03720766329</v>
      </c>
      <c r="M106" s="24" t="n">
        <f aca="false">IF(M$105&lt;=Inputs!$C$22,Inputs!$C$21,Inputs!$C$23*(1+Inputs!$C$24)^(M$105-5)*IF(AND($C$94&lt;&gt;0,M$105&gt;=Inputs!$C$26),1+$C$94,1))</f>
        <v>76.9131378548723</v>
      </c>
      <c r="N106" s="24" t="n">
        <f aca="false">IF(N$105&lt;=Inputs!$C$22,Inputs!$C$21,Inputs!$C$23*(1+Inputs!$C$24)^(N$105-5)*IF(AND($C$94&lt;&gt;0,N$105&gt;=Inputs!$C$26),1+$C$94,1))</f>
        <v>78.8359663012441</v>
      </c>
      <c r="O106" s="24" t="n">
        <f aca="false">IF(O$105&lt;=Inputs!$C$22,Inputs!$C$21,Inputs!$C$23*(1+Inputs!$C$24)^(O$105-5)*IF(AND($C$94&lt;&gt;0,O$105&gt;=Inputs!$C$26),1+$C$94,1))</f>
        <v>80.8068654587752</v>
      </c>
    </row>
    <row r="107" customFormat="false" ht="15" hidden="false" customHeight="false" outlineLevel="0" collapsed="false">
      <c r="B107" s="9" t="s">
        <v>143</v>
      </c>
      <c r="E107" s="24" t="n">
        <f aca="false">Inputs!$C$19*(1+Inputs!$C$20)^(E$105-1)</f>
        <v>74</v>
      </c>
      <c r="F107" s="24" t="n">
        <f aca="false">Inputs!$C$19*(1+Inputs!$C$20)^(F$105-1)</f>
        <v>75.48</v>
      </c>
      <c r="G107" s="24" t="n">
        <f aca="false">Inputs!$C$19*(1+Inputs!$C$20)^(G$105-1)</f>
        <v>76.9896</v>
      </c>
      <c r="H107" s="24" t="n">
        <f aca="false">Inputs!$C$19*(1+Inputs!$C$20)^(H$105-1)</f>
        <v>78.529392</v>
      </c>
      <c r="I107" s="24" t="n">
        <f aca="false">Inputs!$C$19*(1+Inputs!$C$20)^(I$105-1)</f>
        <v>80.09997984</v>
      </c>
      <c r="J107" s="24" t="n">
        <f aca="false">Inputs!$C$19*(1+Inputs!$C$20)^(J$105-1)</f>
        <v>81.7019794368</v>
      </c>
      <c r="K107" s="24" t="n">
        <f aca="false">Inputs!$C$19*(1+Inputs!$C$20)^(K$105-1)</f>
        <v>83.336019025536</v>
      </c>
      <c r="L107" s="24" t="n">
        <f aca="false">Inputs!$C$19*(1+Inputs!$C$20)^(L$105-1)</f>
        <v>85.0027394060467</v>
      </c>
      <c r="M107" s="24" t="n">
        <f aca="false">Inputs!$C$19*(1+Inputs!$C$20)^(M$105-1)</f>
        <v>86.7027941941677</v>
      </c>
      <c r="N107" s="24" t="n">
        <f aca="false">Inputs!$C$19*(1+Inputs!$C$20)^(N$105-1)</f>
        <v>88.436850078051</v>
      </c>
      <c r="O107" s="24" t="n">
        <f aca="false">Inputs!$C$19*(1+Inputs!$C$20)^(O$105-1)</f>
        <v>90.205587079612</v>
      </c>
    </row>
    <row r="108" customFormat="false" ht="15" hidden="false" customHeight="false" outlineLevel="0" collapsed="false">
      <c r="B108" s="9" t="s">
        <v>144</v>
      </c>
      <c r="E108" s="27" t="n">
        <f aca="false">(1+Inputs!$C$11)^(E$105-1)</f>
        <v>1</v>
      </c>
      <c r="F108" s="27" t="n">
        <f aca="false">(1+Inputs!$C$11)^(F$105-1)</f>
        <v>1.03</v>
      </c>
      <c r="G108" s="27" t="n">
        <f aca="false">(1+Inputs!$C$11)^(G$105-1)</f>
        <v>1.0609</v>
      </c>
      <c r="H108" s="27" t="n">
        <f aca="false">(1+Inputs!$C$11)^(H$105-1)</f>
        <v>1.092727</v>
      </c>
      <c r="I108" s="27" t="n">
        <f aca="false">(1+Inputs!$C$11)^(I$105-1)</f>
        <v>1.12550881</v>
      </c>
      <c r="J108" s="27" t="n">
        <f aca="false">(1+Inputs!$C$11)^(J$105-1)</f>
        <v>1.1592740743</v>
      </c>
      <c r="K108" s="27" t="n">
        <f aca="false">(1+Inputs!$C$11)^(K$105-1)</f>
        <v>1.194052296529</v>
      </c>
      <c r="L108" s="27" t="n">
        <f aca="false">(1+Inputs!$C$11)^(L$105-1)</f>
        <v>1.22987386542487</v>
      </c>
      <c r="M108" s="27" t="n">
        <f aca="false">(1+Inputs!$C$11)^(M$105-1)</f>
        <v>1.26677008138762</v>
      </c>
      <c r="N108" s="27" t="n">
        <f aca="false">(1+Inputs!$C$11)^(N$105-1)</f>
        <v>1.30477318382925</v>
      </c>
      <c r="O108" s="27" t="n">
        <f aca="false">(1+Inputs!$C$11)^(O$105-1)</f>
        <v>1.34391637934412</v>
      </c>
    </row>
    <row r="109" customFormat="false" ht="15" hidden="false" customHeight="false" outlineLevel="0" collapsed="false">
      <c r="B109" s="9" t="s">
        <v>145</v>
      </c>
      <c r="E109" s="19" t="n">
        <f aca="false">IF(OR(E$105&lt;=Inputs!$C$9,$C$93="renew"),IF(AND($C$96&gt;0,E$105&gt;=$C$96),$C$97,Inputs!$C$16),IF($C$93="stranded",0,Inputs!$C$16))</f>
        <v>0.8</v>
      </c>
      <c r="F109" s="19" t="n">
        <f aca="false">IF(OR(F$105&lt;=Inputs!$C$9,$C$93="renew"),IF(AND($C$96&gt;0,F$105&gt;=$C$96),$C$97,Inputs!$C$16),IF($C$93="stranded",0,Inputs!$C$16))</f>
        <v>0.8</v>
      </c>
      <c r="G109" s="19" t="n">
        <f aca="false">IF(OR(G$105&lt;=Inputs!$C$9,$C$93="renew"),IF(AND($C$96&gt;0,G$105&gt;=$C$96),$C$97,Inputs!$C$16),IF($C$93="stranded",0,Inputs!$C$16))</f>
        <v>0.8</v>
      </c>
      <c r="H109" s="19" t="n">
        <f aca="false">IF(OR(H$105&lt;=Inputs!$C$9,$C$93="renew"),IF(AND($C$96&gt;0,H$105&gt;=$C$96),$C$97,Inputs!$C$16),IF($C$93="stranded",0,Inputs!$C$16))</f>
        <v>0.8</v>
      </c>
      <c r="I109" s="19" t="n">
        <f aca="false">IF(OR(I$105&lt;=Inputs!$C$9,$C$93="renew"),IF(AND($C$96&gt;0,I$105&gt;=$C$96),$C$97,Inputs!$C$16),IF($C$93="stranded",0,Inputs!$C$16))</f>
        <v>0.8</v>
      </c>
      <c r="J109" s="19" t="n">
        <f aca="false">IF(OR(J$105&lt;=Inputs!$C$9,$C$93="renew"),IF(AND($C$96&gt;0,J$105&gt;=$C$96),$C$97,Inputs!$C$16),IF($C$93="stranded",0,Inputs!$C$16))</f>
        <v>0.8</v>
      </c>
      <c r="K109" s="19" t="n">
        <f aca="false">IF(OR(K$105&lt;=Inputs!$C$9,$C$93="renew"),IF(AND($C$96&gt;0,K$105&gt;=$C$96),$C$97,Inputs!$C$16),IF($C$93="stranded",0,Inputs!$C$16))</f>
        <v>0.8</v>
      </c>
      <c r="L109" s="19" t="n">
        <f aca="false">IF(OR(L$105&lt;=Inputs!$C$9,$C$93="renew"),IF(AND($C$96&gt;0,L$105&gt;=$C$96),$C$97,Inputs!$C$16),IF($C$93="stranded",0,Inputs!$C$16))</f>
        <v>0.8</v>
      </c>
      <c r="M109" s="19" t="n">
        <f aca="false">IF(OR(M$105&lt;=Inputs!$C$9,$C$93="renew"),IF(AND($C$96&gt;0,M$105&gt;=$C$96),$C$97,Inputs!$C$16),IF($C$93="stranded",0,Inputs!$C$16))</f>
        <v>0.8</v>
      </c>
      <c r="N109" s="19" t="n">
        <f aca="false">IF(OR(N$105&lt;=Inputs!$C$9,$C$93="renew"),IF(AND($C$96&gt;0,N$105&gt;=$C$96),$C$97,Inputs!$C$16),IF($C$93="stranded",0,Inputs!$C$16))</f>
        <v>0.8</v>
      </c>
      <c r="O109" s="19" t="n">
        <f aca="false">IF(OR(O$105&lt;=Inputs!$C$9,$C$93="renew"),IF(AND($C$96&gt;0,O$105&gt;=$C$96),$C$97,Inputs!$C$16),IF($C$93="stranded",0,Inputs!$C$16))</f>
        <v>0.8</v>
      </c>
    </row>
    <row r="110" customFormat="false" ht="15" hidden="false" customHeight="false" outlineLevel="0" collapsed="false">
      <c r="B110" s="9" t="s">
        <v>146</v>
      </c>
      <c r="E110" s="22" t="n">
        <f aca="false">IF(OR(E$105&lt;=Inputs!$C$9,$C$93="renew"),IF(AND($C$96&gt;0,E$105&gt;=$C$96),$C$98,$C$100),IF($C$93="retrofit",Inputs!$C$47,IF($C$93="relet",Inputs!$C$53,0)))</f>
        <v>1.4</v>
      </c>
      <c r="F110" s="22" t="n">
        <f aca="false">IF(OR(F$105&lt;=Inputs!$C$9,$C$93="renew"),IF(AND($C$96&gt;0,F$105&gt;=$C$96),$C$98,$C$100),IF($C$93="retrofit",Inputs!$C$47,IF($C$93="relet",Inputs!$C$53,0)))</f>
        <v>1.4</v>
      </c>
      <c r="G110" s="22" t="n">
        <f aca="false">IF(OR(G$105&lt;=Inputs!$C$9,$C$93="renew"),IF(AND($C$96&gt;0,G$105&gt;=$C$96),$C$98,$C$100),IF($C$93="retrofit",Inputs!$C$47,IF($C$93="relet",Inputs!$C$53,0)))</f>
        <v>1.4</v>
      </c>
      <c r="H110" s="22" t="n">
        <f aca="false">IF(OR(H$105&lt;=Inputs!$C$9,$C$93="renew"),IF(AND($C$96&gt;0,H$105&gt;=$C$96),$C$98,$C$100),IF($C$93="retrofit",Inputs!$C$47,IF($C$93="relet",Inputs!$C$53,0)))</f>
        <v>1.4</v>
      </c>
      <c r="I110" s="22" t="n">
        <f aca="false">IF(OR(I$105&lt;=Inputs!$C$9,$C$93="renew"),IF(AND($C$96&gt;0,I$105&gt;=$C$96),$C$98,$C$100),IF($C$93="retrofit",Inputs!$C$47,IF($C$93="relet",Inputs!$C$53,0)))</f>
        <v>1.4</v>
      </c>
      <c r="J110" s="22" t="n">
        <f aca="false">IF(OR(J$105&lt;=Inputs!$C$9,$C$93="renew"),IF(AND($C$96&gt;0,J$105&gt;=$C$96),$C$98,$C$100),IF($C$93="retrofit",Inputs!$C$47,IF($C$93="relet",Inputs!$C$53,0)))</f>
        <v>1.4</v>
      </c>
      <c r="K110" s="22" t="n">
        <f aca="false">IF(OR(K$105&lt;=Inputs!$C$9,$C$93="renew"),IF(AND($C$96&gt;0,K$105&gt;=$C$96),$C$98,$C$100),IF($C$93="retrofit",Inputs!$C$47,IF($C$93="relet",Inputs!$C$53,0)))</f>
        <v>1.4</v>
      </c>
      <c r="L110" s="22" t="n">
        <f aca="false">IF(OR(L$105&lt;=Inputs!$C$9,$C$93="renew"),IF(AND($C$96&gt;0,L$105&gt;=$C$96),$C$98,$C$100),IF($C$93="retrofit",Inputs!$C$47,IF($C$93="relet",Inputs!$C$53,0)))</f>
        <v>1.4</v>
      </c>
      <c r="M110" s="22" t="n">
        <f aca="false">IF(OR(M$105&lt;=Inputs!$C$9,$C$93="renew"),IF(AND($C$96&gt;0,M$105&gt;=$C$96),$C$98,$C$100),IF($C$93="retrofit",Inputs!$C$47,IF($C$93="relet",Inputs!$C$53,0)))</f>
        <v>1.4</v>
      </c>
      <c r="N110" s="22" t="n">
        <f aca="false">IF(OR(N$105&lt;=Inputs!$C$9,$C$93="renew"),IF(AND($C$96&gt;0,N$105&gt;=$C$96),$C$98,$C$100),IF($C$93="retrofit",Inputs!$C$47,IF($C$93="relet",Inputs!$C$53,0)))</f>
        <v>1.4</v>
      </c>
      <c r="O110" s="22" t="n">
        <f aca="false">IF(OR(O$105&lt;=Inputs!$C$9,$C$93="renew"),IF(AND($C$96&gt;0,O$105&gt;=$C$96),$C$98,$C$100),IF($C$93="retrofit",Inputs!$C$47,IF($C$93="relet",Inputs!$C$53,0)))</f>
        <v>1.4</v>
      </c>
    </row>
    <row r="111" customFormat="false" ht="15" hidden="false" customHeight="false" outlineLevel="0" collapsed="false">
      <c r="B111" s="9" t="s">
        <v>147</v>
      </c>
      <c r="E111" s="21" t="n">
        <f aca="false">IF(OR(E$105&lt;=Inputs!$C$9,$C$93="renew"),1,IF($C$93="retrofit",IF(E$105-Inputs!$C$9=1,0,1),IF($C$93="relet",CHOOSE(MIN(E$105-Inputs!$C$9,3),Inputs!$C$50,Inputs!$C$51,Inputs!$C$52),0)))</f>
        <v>1</v>
      </c>
      <c r="F111" s="21" t="n">
        <f aca="false">IF(OR(F$105&lt;=Inputs!$C$9,$C$93="renew"),1,IF($C$93="retrofit",IF(F$105-Inputs!$C$9=1,0,1),IF($C$93="relet",CHOOSE(MIN(F$105-Inputs!$C$9,3),Inputs!$C$50,Inputs!$C$51,Inputs!$C$52),0)))</f>
        <v>1</v>
      </c>
      <c r="G111" s="21" t="n">
        <f aca="false">IF(OR(G$105&lt;=Inputs!$C$9,$C$93="renew"),1,IF($C$93="retrofit",IF(G$105-Inputs!$C$9=1,0,1),IF($C$93="relet",CHOOSE(MIN(G$105-Inputs!$C$9,3),Inputs!$C$50,Inputs!$C$51,Inputs!$C$52),0)))</f>
        <v>1</v>
      </c>
      <c r="H111" s="21" t="n">
        <f aca="false">IF(OR(H$105&lt;=Inputs!$C$9,$C$93="renew"),1,IF($C$93="retrofit",IF(H$105-Inputs!$C$9=1,0,1),IF($C$93="relet",CHOOSE(MIN(H$105-Inputs!$C$9,3),Inputs!$C$50,Inputs!$C$51,Inputs!$C$52),0)))</f>
        <v>1</v>
      </c>
      <c r="I111" s="21" t="n">
        <f aca="false">IF(OR(I$105&lt;=Inputs!$C$9,$C$93="renew"),1,IF($C$93="retrofit",IF(I$105-Inputs!$C$9=1,0,1),IF($C$93="relet",CHOOSE(MIN(I$105-Inputs!$C$9,3),Inputs!$C$50,Inputs!$C$51,Inputs!$C$52),0)))</f>
        <v>1</v>
      </c>
      <c r="J111" s="21" t="n">
        <f aca="false">IF(OR(J$105&lt;=Inputs!$C$9,$C$93="renew"),1,IF($C$93="retrofit",IF(J$105-Inputs!$C$9=1,0,1),IF($C$93="relet",CHOOSE(MIN(J$105-Inputs!$C$9,3),Inputs!$C$50,Inputs!$C$51,Inputs!$C$52),0)))</f>
        <v>1</v>
      </c>
      <c r="K111" s="21" t="n">
        <f aca="false">IF(OR(K$105&lt;=Inputs!$C$9,$C$93="renew"),1,IF($C$93="retrofit",IF(K$105-Inputs!$C$9=1,0,1),IF($C$93="relet",CHOOSE(MIN(K$105-Inputs!$C$9,3),Inputs!$C$50,Inputs!$C$51,Inputs!$C$52),0)))</f>
        <v>1</v>
      </c>
      <c r="L111" s="21" t="n">
        <f aca="false">IF(OR(L$105&lt;=Inputs!$C$9,$C$93="renew"),1,IF($C$93="retrofit",IF(L$105-Inputs!$C$9=1,0,1),IF($C$93="relet",CHOOSE(MIN(L$105-Inputs!$C$9,3),Inputs!$C$50,Inputs!$C$51,Inputs!$C$52),0)))</f>
        <v>1</v>
      </c>
      <c r="M111" s="21" t="n">
        <f aca="false">IF(OR(M$105&lt;=Inputs!$C$9,$C$93="renew"),1,IF($C$93="retrofit",IF(M$105-Inputs!$C$9=1,0,1),IF($C$93="relet",CHOOSE(MIN(M$105-Inputs!$C$9,3),Inputs!$C$50,Inputs!$C$51,Inputs!$C$52),0)))</f>
        <v>1</v>
      </c>
      <c r="N111" s="21" t="n">
        <f aca="false">IF(OR(N$105&lt;=Inputs!$C$9,$C$93="renew"),1,IF($C$93="retrofit",IF(N$105-Inputs!$C$9=1,0,1),IF($C$93="relet",CHOOSE(MIN(N$105-Inputs!$C$9,3),Inputs!$C$50,Inputs!$C$51,Inputs!$C$52),0)))</f>
        <v>1</v>
      </c>
      <c r="O111" s="21" t="n">
        <f aca="false">IF(OR(O$105&lt;=Inputs!$C$9,$C$93="renew"),1,IF($C$93="retrofit",IF(O$105-Inputs!$C$9=1,0,1),IF($C$93="relet",CHOOSE(MIN(O$105-Inputs!$C$9,3),Inputs!$C$50,Inputs!$C$51,Inputs!$C$52),0)))</f>
        <v>1</v>
      </c>
    </row>
    <row r="112" customFormat="false" ht="15" hidden="false" customHeight="false" outlineLevel="0" collapsed="false">
      <c r="B112" s="9" t="s">
        <v>148</v>
      </c>
      <c r="E112" s="28" t="n">
        <f aca="false">Inputs!$C$6*1000*E109*E111*8760/1000</f>
        <v>224256</v>
      </c>
      <c r="F112" s="28" t="n">
        <f aca="false">Inputs!$C$6*1000*F109*F111*8760/1000</f>
        <v>224256</v>
      </c>
      <c r="G112" s="28" t="n">
        <f aca="false">Inputs!$C$6*1000*G109*G111*8760/1000</f>
        <v>224256</v>
      </c>
      <c r="H112" s="28" t="n">
        <f aca="false">Inputs!$C$6*1000*H109*H111*8760/1000</f>
        <v>224256</v>
      </c>
      <c r="I112" s="28" t="n">
        <f aca="false">Inputs!$C$6*1000*I109*I111*8760/1000</f>
        <v>224256</v>
      </c>
      <c r="J112" s="28" t="n">
        <f aca="false">Inputs!$C$6*1000*J109*J111*8760/1000</f>
        <v>224256</v>
      </c>
      <c r="K112" s="28" t="n">
        <f aca="false">Inputs!$C$6*1000*K109*K111*8760/1000</f>
        <v>224256</v>
      </c>
      <c r="L112" s="28" t="n">
        <f aca="false">Inputs!$C$6*1000*L109*L111*8760/1000</f>
        <v>224256</v>
      </c>
      <c r="M112" s="28" t="n">
        <f aca="false">Inputs!$C$6*1000*M109*M111*8760/1000</f>
        <v>224256</v>
      </c>
      <c r="N112" s="28" t="n">
        <f aca="false">Inputs!$C$6*1000*N109*N111*8760/1000</f>
        <v>224256</v>
      </c>
      <c r="O112" s="28" t="n">
        <f aca="false">Inputs!$C$6*1000*O109*O111*8760/1000</f>
        <v>224256</v>
      </c>
    </row>
    <row r="113" customFormat="false" ht="15" hidden="false" customHeight="false" outlineLevel="0" collapsed="false">
      <c r="B113" s="9" t="s">
        <v>149</v>
      </c>
      <c r="E113" s="24" t="n">
        <f aca="false">IF(E$105&lt;=Inputs!$C$9,Inputs!$C$6*1000*Inputs!$C$7*12*(1+Inputs!$C$8)^(E$105-1)/1000000,IF($C$93="renew",$C$104*$C$101*(1+Inputs!$C$8)^(E$105-Inputs!$C$9-1),IF($C$93="retrofit",IF(E$105-Inputs!$C$9=1,0,Inputs!$C$6*1000*Inputs!$C$46*12*(1+Inputs!$C$8)^(E$105-Inputs!$C$9-2)/1000000),IF($C$93="relet",Inputs!$C$6*1000*E111*$C$102*12*(1+Inputs!$C$8)^(E$105-Inputs!$C$9-2)/1000000,0))))</f>
        <v>52.992</v>
      </c>
      <c r="F113" s="24" t="n">
        <f aca="false">IF(F$105&lt;=Inputs!$C$9,Inputs!$C$6*1000*Inputs!$C$7*12*(1+Inputs!$C$8)^(F$105-1)/1000000,IF($C$93="renew",$C$104*$C$101*(1+Inputs!$C$8)^(F$105-Inputs!$C$9-1),IF($C$93="retrofit",IF(F$105-Inputs!$C$9=1,0,Inputs!$C$6*1000*Inputs!$C$46*12*(1+Inputs!$C$8)^(F$105-Inputs!$C$9-2)/1000000),IF($C$93="relet",Inputs!$C$6*1000*F111*$C$102*12*(1+Inputs!$C$8)^(F$105-Inputs!$C$9-2)/1000000,0))))</f>
        <v>54.05184</v>
      </c>
      <c r="G113" s="24" t="n">
        <f aca="false">IF(G$105&lt;=Inputs!$C$9,Inputs!$C$6*1000*Inputs!$C$7*12*(1+Inputs!$C$8)^(G$105-1)/1000000,IF($C$93="renew",$C$104*$C$101*(1+Inputs!$C$8)^(G$105-Inputs!$C$9-1),IF($C$93="retrofit",IF(G$105-Inputs!$C$9=1,0,Inputs!$C$6*1000*Inputs!$C$46*12*(1+Inputs!$C$8)^(G$105-Inputs!$C$9-2)/1000000),IF($C$93="relet",Inputs!$C$6*1000*G111*$C$102*12*(1+Inputs!$C$8)^(G$105-Inputs!$C$9-2)/1000000,0))))</f>
        <v>55.1328768</v>
      </c>
      <c r="H113" s="24" t="n">
        <f aca="false">IF(H$105&lt;=Inputs!$C$9,Inputs!$C$6*1000*Inputs!$C$7*12*(1+Inputs!$C$8)^(H$105-1)/1000000,IF($C$93="renew",$C$104*$C$101*(1+Inputs!$C$8)^(H$105-Inputs!$C$9-1),IF($C$93="retrofit",IF(H$105-Inputs!$C$9=1,0,Inputs!$C$6*1000*Inputs!$C$46*12*(1+Inputs!$C$8)^(H$105-Inputs!$C$9-2)/1000000),IF($C$93="relet",Inputs!$C$6*1000*H111*$C$102*12*(1+Inputs!$C$8)^(H$105-Inputs!$C$9-2)/1000000,0))))</f>
        <v>56.235534336</v>
      </c>
      <c r="I113" s="24" t="n">
        <f aca="false">IF(I$105&lt;=Inputs!$C$9,Inputs!$C$6*1000*Inputs!$C$7*12*(1+Inputs!$C$8)^(I$105-1)/1000000,IF($C$93="renew",$C$104*$C$101*(1+Inputs!$C$8)^(I$105-Inputs!$C$9-1),IF($C$93="retrofit",IF(I$105-Inputs!$C$9=1,0,Inputs!$C$6*1000*Inputs!$C$46*12*(1+Inputs!$C$8)^(I$105-Inputs!$C$9-2)/1000000),IF($C$93="relet",Inputs!$C$6*1000*I111*$C$102*12*(1+Inputs!$C$8)^(I$105-Inputs!$C$9-2)/1000000,0))))</f>
        <v>57.36024502272</v>
      </c>
      <c r="J113" s="24" t="n">
        <f aca="false">IF(J$105&lt;=Inputs!$C$9,Inputs!$C$6*1000*Inputs!$C$7*12*(1+Inputs!$C$8)^(J$105-1)/1000000,IF($C$93="renew",$C$104*$C$101*(1+Inputs!$C$8)^(J$105-Inputs!$C$9-1),IF($C$93="retrofit",IF(J$105-Inputs!$C$9=1,0,Inputs!$C$6*1000*Inputs!$C$46*12*(1+Inputs!$C$8)^(J$105-Inputs!$C$9-2)/1000000),IF($C$93="relet",Inputs!$C$6*1000*J111*$C$102*12*(1+Inputs!$C$8)^(J$105-Inputs!$C$9-2)/1000000,0))))</f>
        <v>58.5074499231744</v>
      </c>
      <c r="K113" s="24" t="n">
        <f aca="false">IF(K$105&lt;=Inputs!$C$9,Inputs!$C$6*1000*Inputs!$C$7*12*(1+Inputs!$C$8)^(K$105-1)/1000000,IF($C$93="renew",$C$104*$C$101*(1+Inputs!$C$8)^(K$105-Inputs!$C$9-1),IF($C$93="retrofit",IF(K$105-Inputs!$C$9=1,0,Inputs!$C$6*1000*Inputs!$C$46*12*(1+Inputs!$C$8)^(K$105-Inputs!$C$9-2)/1000000),IF($C$93="relet",Inputs!$C$6*1000*K111*$C$102*12*(1+Inputs!$C$8)^(K$105-Inputs!$C$9-2)/1000000,0))))</f>
        <v>59.6775989216379</v>
      </c>
      <c r="L113" s="24" t="n">
        <f aca="false">IF(L$105&lt;=Inputs!$C$9,Inputs!$C$6*1000*Inputs!$C$7*12*(1+Inputs!$C$8)^(L$105-1)/1000000,IF($C$93="renew",$C$104*$C$101*(1+Inputs!$C$8)^(L$105-Inputs!$C$9-1),IF($C$93="retrofit",IF(L$105-Inputs!$C$9=1,0,Inputs!$C$6*1000*Inputs!$C$46*12*(1+Inputs!$C$8)^(L$105-Inputs!$C$9-2)/1000000),IF($C$93="relet",Inputs!$C$6*1000*L111*$C$102*12*(1+Inputs!$C$8)^(L$105-Inputs!$C$9-2)/1000000,0))))</f>
        <v>60.8711509000706</v>
      </c>
      <c r="M113" s="24" t="n">
        <f aca="false">IF(M$105&lt;=Inputs!$C$9,Inputs!$C$6*1000*Inputs!$C$7*12*(1+Inputs!$C$8)^(M$105-1)/1000000,IF($C$93="renew",$C$104*$C$101*(1+Inputs!$C$8)^(M$105-Inputs!$C$9-1),IF($C$93="retrofit",IF(M$105-Inputs!$C$9=1,0,Inputs!$C$6*1000*Inputs!$C$46*12*(1+Inputs!$C$8)^(M$105-Inputs!$C$9-2)/1000000),IF($C$93="relet",Inputs!$C$6*1000*M111*$C$102*12*(1+Inputs!$C$8)^(M$105-Inputs!$C$9-2)/1000000,0))))</f>
        <v>54.7840358100636</v>
      </c>
      <c r="N113" s="24" t="n">
        <f aca="false">IF(N$105&lt;=Inputs!$C$9,Inputs!$C$6*1000*Inputs!$C$7*12*(1+Inputs!$C$8)^(N$105-1)/1000000,IF($C$93="renew",$C$104*$C$101*(1+Inputs!$C$8)^(N$105-Inputs!$C$9-1),IF($C$93="retrofit",IF(N$105-Inputs!$C$9=1,0,Inputs!$C$6*1000*Inputs!$C$46*12*(1+Inputs!$C$8)^(N$105-Inputs!$C$9-2)/1000000),IF($C$93="relet",Inputs!$C$6*1000*N111*$C$102*12*(1+Inputs!$C$8)^(N$105-Inputs!$C$9-2)/1000000,0))))</f>
        <v>55.8797165262649</v>
      </c>
      <c r="O113" s="24" t="n">
        <f aca="false">IF(O$105&lt;=Inputs!$C$9,Inputs!$C$6*1000*Inputs!$C$7*12*(1+Inputs!$C$8)^(O$105-1)/1000000,IF($C$93="renew",$C$104*$C$101*(1+Inputs!$C$8)^(O$105-Inputs!$C$9-1),IF($C$93="retrofit",IF(O$105-Inputs!$C$9=1,0,Inputs!$C$6*1000*Inputs!$C$46*12*(1+Inputs!$C$8)^(O$105-Inputs!$C$9-2)/1000000),IF($C$93="relet",Inputs!$C$6*1000*O111*$C$102*12*(1+Inputs!$C$8)^(O$105-Inputs!$C$9-2)/1000000,0))))</f>
        <v>56.9973108567902</v>
      </c>
    </row>
    <row r="114" customFormat="false" ht="15" hidden="false" customHeight="false" outlineLevel="0" collapsed="false">
      <c r="B114" s="9" t="s">
        <v>150</v>
      </c>
      <c r="E114" s="24" t="n">
        <f aca="false">IF(OR(E$105&lt;=Inputs!$C$9,$C$93="renew"),E112*(Inputs!$C$17*E107-E110*E106)/1000000,E112*E110*Inputs!$C$27/1000000)</f>
        <v>2.4219648</v>
      </c>
      <c r="F114" s="24" t="n">
        <f aca="false">IF(OR(F$105&lt;=Inputs!$C$9,$C$93="renew"),F112*(Inputs!$C$17*F107-F110*F106)/1000000,F112*F110*Inputs!$C$27/1000000)</f>
        <v>2.853433344</v>
      </c>
      <c r="G114" s="24" t="n">
        <f aca="false">IF(OR(G$105&lt;=Inputs!$C$9,$C$93="renew"),G112*(Inputs!$C$17*G107-G110*G106)/1000000,G112*G110*Inputs!$C$27/1000000)</f>
        <v>3.29353125888</v>
      </c>
      <c r="H114" s="24" t="n">
        <f aca="false">IF(OR(H$105&lt;=Inputs!$C$9,$C$93="renew"),H112*(Inputs!$C$17*H107-H110*H106)/1000000,H112*H110*Inputs!$C$27/1000000)</f>
        <v>3.74243113205761</v>
      </c>
      <c r="I114" s="24" t="n">
        <f aca="false">IF(OR(I$105&lt;=Inputs!$C$9,$C$93="renew"),I112*(Inputs!$C$17*I107-I110*I106)/1000000,I112*I110*Inputs!$C$27/1000000)</f>
        <v>1.4753049245601</v>
      </c>
      <c r="J114" s="24" t="n">
        <f aca="false">IF(OR(J$105&lt;=Inputs!$C$9,$C$93="renew"),J112*(Inputs!$C$17*J107-J110*J106)/1000000,J112*J110*Inputs!$C$27/1000000)</f>
        <v>1.39542869066061</v>
      </c>
      <c r="K114" s="24" t="n">
        <f aca="false">IF(OR(K$105&lt;=Inputs!$C$9,$C$93="renew"),K112*(Inputs!$C$17*K107-K110*K106)/1000000,K112*K110*Inputs!$C$27/1000000)</f>
        <v>1.31122037377336</v>
      </c>
      <c r="L114" s="24" t="n">
        <f aca="false">IF(OR(L$105&lt;=Inputs!$C$9,$C$93="renew"),L112*(Inputs!$C$17*L107-L110*L106)/1000000,L112*L110*Inputs!$C$27/1000000)</f>
        <v>1.22252496828087</v>
      </c>
      <c r="M114" s="24" t="n">
        <f aca="false">IF(OR(M$105&lt;=Inputs!$C$9,$C$93="renew"),M112*(Inputs!$C$17*M107-M110*M106)/1000000,M112*M110*Inputs!$C$27/1000000)</f>
        <v>1.12918265935432</v>
      </c>
      <c r="N114" s="24" t="n">
        <f aca="false">IF(OR(N$105&lt;=Inputs!$C$9,$C$93="renew"),N112*(Inputs!$C$17*N107-N110*N106)/1000000,N112*N110*Inputs!$C$27/1000000)</f>
        <v>1.03102868404193</v>
      </c>
      <c r="O114" s="24" t="n">
        <f aca="false">IF(OR(O$105&lt;=Inputs!$C$9,$C$93="renew"),O112*(Inputs!$C$17*O107-O110*O106)/1000000,O112*O110*Inputs!$C$27/1000000)</f>
        <v>0.927893188510807</v>
      </c>
    </row>
    <row r="115" customFormat="false" ht="15" hidden="false" customHeight="false" outlineLevel="0" collapsed="false">
      <c r="B115" s="9" t="s">
        <v>151</v>
      </c>
      <c r="E115" s="24" t="n">
        <f aca="false">Inputs!$C$10*E108*IF(OR(E$105&lt;=Inputs!$C$9,$C$93="renew"),1,IF($C$93="retrofit",IF(E$105-Inputs!$C$9=1,Inputs!$C$48,1),IF($C$93="relet",Inputs!$C$54,Inputs!$C$56)))</f>
        <v>4.1</v>
      </c>
      <c r="F115" s="24" t="n">
        <f aca="false">Inputs!$C$10*F108*IF(OR(F$105&lt;=Inputs!$C$9,$C$93="renew"),1,IF($C$93="retrofit",IF(F$105-Inputs!$C$9=1,Inputs!$C$48,1),IF($C$93="relet",Inputs!$C$54,Inputs!$C$56)))</f>
        <v>4.223</v>
      </c>
      <c r="G115" s="24" t="n">
        <f aca="false">Inputs!$C$10*G108*IF(OR(G$105&lt;=Inputs!$C$9,$C$93="renew"),1,IF($C$93="retrofit",IF(G$105-Inputs!$C$9=1,Inputs!$C$48,1),IF($C$93="relet",Inputs!$C$54,Inputs!$C$56)))</f>
        <v>4.34969</v>
      </c>
      <c r="H115" s="24" t="n">
        <f aca="false">Inputs!$C$10*H108*IF(OR(H$105&lt;=Inputs!$C$9,$C$93="renew"),1,IF($C$93="retrofit",IF(H$105-Inputs!$C$9=1,Inputs!$C$48,1),IF($C$93="relet",Inputs!$C$54,Inputs!$C$56)))</f>
        <v>4.4801807</v>
      </c>
      <c r="I115" s="24" t="n">
        <f aca="false">Inputs!$C$10*I108*IF(OR(I$105&lt;=Inputs!$C$9,$C$93="renew"),1,IF($C$93="retrofit",IF(I$105-Inputs!$C$9=1,Inputs!$C$48,1),IF($C$93="relet",Inputs!$C$54,Inputs!$C$56)))</f>
        <v>4.614586121</v>
      </c>
      <c r="J115" s="24" t="n">
        <f aca="false">Inputs!$C$10*J108*IF(OR(J$105&lt;=Inputs!$C$9,$C$93="renew"),1,IF($C$93="retrofit",IF(J$105-Inputs!$C$9=1,Inputs!$C$48,1),IF($C$93="relet",Inputs!$C$54,Inputs!$C$56)))</f>
        <v>4.75302370463</v>
      </c>
      <c r="K115" s="24" t="n">
        <f aca="false">Inputs!$C$10*K108*IF(OR(K$105&lt;=Inputs!$C$9,$C$93="renew"),1,IF($C$93="retrofit",IF(K$105-Inputs!$C$9=1,Inputs!$C$48,1),IF($C$93="relet",Inputs!$C$54,Inputs!$C$56)))</f>
        <v>4.8956144157689</v>
      </c>
      <c r="L115" s="24" t="n">
        <f aca="false">Inputs!$C$10*L108*IF(OR(L$105&lt;=Inputs!$C$9,$C$93="renew"),1,IF($C$93="retrofit",IF(L$105-Inputs!$C$9=1,Inputs!$C$48,1),IF($C$93="relet",Inputs!$C$54,Inputs!$C$56)))</f>
        <v>5.04248284824197</v>
      </c>
      <c r="M115" s="24" t="n">
        <f aca="false">Inputs!$C$10*M108*IF(OR(M$105&lt;=Inputs!$C$9,$C$93="renew"),1,IF($C$93="retrofit",IF(M$105-Inputs!$C$9=1,Inputs!$C$48,1),IF($C$93="relet",Inputs!$C$54,Inputs!$C$56)))</f>
        <v>5.19375733368923</v>
      </c>
      <c r="N115" s="24" t="n">
        <f aca="false">Inputs!$C$10*N108*IF(OR(N$105&lt;=Inputs!$C$9,$C$93="renew"),1,IF($C$93="retrofit",IF(N$105-Inputs!$C$9=1,Inputs!$C$48,1),IF($C$93="relet",Inputs!$C$54,Inputs!$C$56)))</f>
        <v>5.3495700536999</v>
      </c>
      <c r="O115" s="24" t="n">
        <f aca="false">Inputs!$C$10*O108*IF(OR(O$105&lt;=Inputs!$C$9,$C$93="renew"),1,IF($C$93="retrofit",IF(O$105-Inputs!$C$9=1,Inputs!$C$48,1),IF($C$93="relet",Inputs!$C$54,Inputs!$C$56)))</f>
        <v>5.5100571553109</v>
      </c>
    </row>
    <row r="116" customFormat="false" ht="15" hidden="false" customHeight="false" outlineLevel="0" collapsed="false">
      <c r="B116" s="9" t="s">
        <v>152</v>
      </c>
      <c r="E116" s="24" t="n">
        <f aca="false">IF(E$105&gt;=$C$95,Inputs!$C$30*1000*Inputs!$C$34*12*(1+Inputs!$C$8)^(E$105-$C$95)/1000000*IF(AND(E$105=$C$95,$C$95&gt;Inputs!$C$33),1-MIN(12,Inputs!$C$35*($C$95-Inputs!$C$33)*12)/12,1),0)</f>
        <v>0</v>
      </c>
      <c r="F116" s="24" t="n">
        <f aca="false">IF(F$105&gt;=$C$95,Inputs!$C$30*1000*Inputs!$C$34*12*(1+Inputs!$C$8)^(F$105-$C$95)/1000000*IF(AND(F$105=$C$95,$C$95&gt;Inputs!$C$33),1-MIN(12,Inputs!$C$35*($C$95-Inputs!$C$33)*12)/12,1),0)</f>
        <v>0</v>
      </c>
      <c r="G116" s="24" t="n">
        <f aca="false">IF(G$105&gt;=$C$95,Inputs!$C$30*1000*Inputs!$C$34*12*(1+Inputs!$C$8)^(G$105-$C$95)/1000000*IF(AND(G$105=$C$95,$C$95&gt;Inputs!$C$33),1-MIN(12,Inputs!$C$35*($C$95-Inputs!$C$33)*12)/12,1),0)</f>
        <v>29.184</v>
      </c>
      <c r="H116" s="24" t="n">
        <f aca="false">IF(H$105&gt;=$C$95,Inputs!$C$30*1000*Inputs!$C$34*12*(1+Inputs!$C$8)^(H$105-$C$95)/1000000*IF(AND(H$105=$C$95,$C$95&gt;Inputs!$C$33),1-MIN(12,Inputs!$C$35*($C$95-Inputs!$C$33)*12)/12,1),0)</f>
        <v>29.76768</v>
      </c>
      <c r="I116" s="24" t="n">
        <f aca="false">IF(I$105&gt;=$C$95,Inputs!$C$30*1000*Inputs!$C$34*12*(1+Inputs!$C$8)^(I$105-$C$95)/1000000*IF(AND(I$105=$C$95,$C$95&gt;Inputs!$C$33),1-MIN(12,Inputs!$C$35*($C$95-Inputs!$C$33)*12)/12,1),0)</f>
        <v>30.3630336</v>
      </c>
      <c r="J116" s="24" t="n">
        <f aca="false">IF(J$105&gt;=$C$95,Inputs!$C$30*1000*Inputs!$C$34*12*(1+Inputs!$C$8)^(J$105-$C$95)/1000000*IF(AND(J$105=$C$95,$C$95&gt;Inputs!$C$33),1-MIN(12,Inputs!$C$35*($C$95-Inputs!$C$33)*12)/12,1),0)</f>
        <v>30.970294272</v>
      </c>
      <c r="K116" s="24" t="n">
        <f aca="false">IF(K$105&gt;=$C$95,Inputs!$C$30*1000*Inputs!$C$34*12*(1+Inputs!$C$8)^(K$105-$C$95)/1000000*IF(AND(K$105=$C$95,$C$95&gt;Inputs!$C$33),1-MIN(12,Inputs!$C$35*($C$95-Inputs!$C$33)*12)/12,1),0)</f>
        <v>31.58970015744</v>
      </c>
      <c r="L116" s="24" t="n">
        <f aca="false">IF(L$105&gt;=$C$95,Inputs!$C$30*1000*Inputs!$C$34*12*(1+Inputs!$C$8)^(L$105-$C$95)/1000000*IF(AND(L$105=$C$95,$C$95&gt;Inputs!$C$33),1-MIN(12,Inputs!$C$35*($C$95-Inputs!$C$33)*12)/12,1),0)</f>
        <v>32.2214941605888</v>
      </c>
      <c r="M116" s="24" t="n">
        <f aca="false">IF(M$105&gt;=$C$95,Inputs!$C$30*1000*Inputs!$C$34*12*(1+Inputs!$C$8)^(M$105-$C$95)/1000000*IF(AND(M$105=$C$95,$C$95&gt;Inputs!$C$33),1-MIN(12,Inputs!$C$35*($C$95-Inputs!$C$33)*12)/12,1),0)</f>
        <v>32.8659240438006</v>
      </c>
      <c r="N116" s="24" t="n">
        <f aca="false">IF(N$105&gt;=$C$95,Inputs!$C$30*1000*Inputs!$C$34*12*(1+Inputs!$C$8)^(N$105-$C$95)/1000000*IF(AND(N$105=$C$95,$C$95&gt;Inputs!$C$33),1-MIN(12,Inputs!$C$35*($C$95-Inputs!$C$33)*12)/12,1),0)</f>
        <v>33.5232425246766</v>
      </c>
      <c r="O116" s="24" t="n">
        <f aca="false">IF(O$105&gt;=$C$95,Inputs!$C$30*1000*Inputs!$C$34*12*(1+Inputs!$C$8)^(O$105-$C$95)/1000000*IF(AND(O$105=$C$95,$C$95&gt;Inputs!$C$33),1-MIN(12,Inputs!$C$35*($C$95-Inputs!$C$33)*12)/12,1),0)</f>
        <v>34.1937073751701</v>
      </c>
    </row>
    <row r="117" customFormat="false" ht="15" hidden="false" customHeight="false" outlineLevel="0" collapsed="false">
      <c r="B117" s="9" t="s">
        <v>153</v>
      </c>
      <c r="E117" s="28" t="n">
        <f aca="false">IF(E$105&gt;=$C$95,Inputs!$C$30*1000*Inputs!$C$16*8760/1000,0)</f>
        <v>0</v>
      </c>
      <c r="F117" s="28" t="n">
        <f aca="false">IF(F$105&gt;=$C$95,Inputs!$C$30*1000*Inputs!$C$16*8760/1000,0)</f>
        <v>0</v>
      </c>
      <c r="G117" s="28" t="n">
        <f aca="false">IF(G$105&gt;=$C$95,Inputs!$C$30*1000*Inputs!$C$16*8760/1000,0)</f>
        <v>112128</v>
      </c>
      <c r="H117" s="28" t="n">
        <f aca="false">IF(H$105&gt;=$C$95,Inputs!$C$30*1000*Inputs!$C$16*8760/1000,0)</f>
        <v>112128</v>
      </c>
      <c r="I117" s="28" t="n">
        <f aca="false">IF(I$105&gt;=$C$95,Inputs!$C$30*1000*Inputs!$C$16*8760/1000,0)</f>
        <v>112128</v>
      </c>
      <c r="J117" s="28" t="n">
        <f aca="false">IF(J$105&gt;=$C$95,Inputs!$C$30*1000*Inputs!$C$16*8760/1000,0)</f>
        <v>112128</v>
      </c>
      <c r="K117" s="28" t="n">
        <f aca="false">IF(K$105&gt;=$C$95,Inputs!$C$30*1000*Inputs!$C$16*8760/1000,0)</f>
        <v>112128</v>
      </c>
      <c r="L117" s="28" t="n">
        <f aca="false">IF(L$105&gt;=$C$95,Inputs!$C$30*1000*Inputs!$C$16*8760/1000,0)</f>
        <v>112128</v>
      </c>
      <c r="M117" s="28" t="n">
        <f aca="false">IF(M$105&gt;=$C$95,Inputs!$C$30*1000*Inputs!$C$16*8760/1000,0)</f>
        <v>112128</v>
      </c>
      <c r="N117" s="28" t="n">
        <f aca="false">IF(N$105&gt;=$C$95,Inputs!$C$30*1000*Inputs!$C$16*8760/1000,0)</f>
        <v>112128</v>
      </c>
      <c r="O117" s="28" t="n">
        <f aca="false">IF(O$105&gt;=$C$95,Inputs!$C$30*1000*Inputs!$C$16*8760/1000,0)</f>
        <v>112128</v>
      </c>
    </row>
    <row r="118" customFormat="false" ht="15" hidden="false" customHeight="false" outlineLevel="0" collapsed="false">
      <c r="B118" s="9" t="s">
        <v>154</v>
      </c>
      <c r="E118" s="24" t="n">
        <f aca="false">E117*Inputs!$C$37*Inputs!$C$27/1000000</f>
        <v>0</v>
      </c>
      <c r="F118" s="24" t="n">
        <f aca="false">F117*Inputs!$C$37*Inputs!$C$27/1000000</f>
        <v>0</v>
      </c>
      <c r="G118" s="24" t="n">
        <f aca="false">G117*Inputs!$C$37*Inputs!$C$27/1000000</f>
        <v>0.4036608</v>
      </c>
      <c r="H118" s="24" t="n">
        <f aca="false">H117*Inputs!$C$37*Inputs!$C$27/1000000</f>
        <v>0.4036608</v>
      </c>
      <c r="I118" s="24" t="n">
        <f aca="false">I117*Inputs!$C$37*Inputs!$C$27/1000000</f>
        <v>0.4036608</v>
      </c>
      <c r="J118" s="24" t="n">
        <f aca="false">J117*Inputs!$C$37*Inputs!$C$27/1000000</f>
        <v>0.4036608</v>
      </c>
      <c r="K118" s="24" t="n">
        <f aca="false">K117*Inputs!$C$37*Inputs!$C$27/1000000</f>
        <v>0.4036608</v>
      </c>
      <c r="L118" s="24" t="n">
        <f aca="false">L117*Inputs!$C$37*Inputs!$C$27/1000000</f>
        <v>0.4036608</v>
      </c>
      <c r="M118" s="24" t="n">
        <f aca="false">M117*Inputs!$C$37*Inputs!$C$27/1000000</f>
        <v>0.4036608</v>
      </c>
      <c r="N118" s="24" t="n">
        <f aca="false">N117*Inputs!$C$37*Inputs!$C$27/1000000</f>
        <v>0.4036608</v>
      </c>
      <c r="O118" s="24" t="n">
        <f aca="false">O117*Inputs!$C$37*Inputs!$C$27/1000000</f>
        <v>0.4036608</v>
      </c>
    </row>
    <row r="119" customFormat="false" ht="15" hidden="false" customHeight="false" outlineLevel="0" collapsed="false">
      <c r="B119" s="9" t="s">
        <v>155</v>
      </c>
      <c r="E119" s="24" t="n">
        <f aca="false">IF(E$105&gt;=$C$95,Inputs!$C$38*E108,0)</f>
        <v>0</v>
      </c>
      <c r="F119" s="24" t="n">
        <f aca="false">IF(F$105&gt;=$C$95,Inputs!$C$38*F108,0)</f>
        <v>0</v>
      </c>
      <c r="G119" s="24" t="n">
        <f aca="false">IF(G$105&gt;=$C$95,Inputs!$C$38*G108,0)</f>
        <v>1.69744</v>
      </c>
      <c r="H119" s="24" t="n">
        <f aca="false">IF(H$105&gt;=$C$95,Inputs!$C$38*H108,0)</f>
        <v>1.7483632</v>
      </c>
      <c r="I119" s="24" t="n">
        <f aca="false">IF(I$105&gt;=$C$95,Inputs!$C$38*I108,0)</f>
        <v>1.800814096</v>
      </c>
      <c r="J119" s="24" t="n">
        <f aca="false">IF(J$105&gt;=$C$95,Inputs!$C$38*J108,0)</f>
        <v>1.85483851888</v>
      </c>
      <c r="K119" s="24" t="n">
        <f aca="false">IF(K$105&gt;=$C$95,Inputs!$C$38*K108,0)</f>
        <v>1.9104836744464</v>
      </c>
      <c r="L119" s="24" t="n">
        <f aca="false">IF(L$105&gt;=$C$95,Inputs!$C$38*L108,0)</f>
        <v>1.96779818467979</v>
      </c>
      <c r="M119" s="24" t="n">
        <f aca="false">IF(M$105&gt;=$C$95,Inputs!$C$38*M108,0)</f>
        <v>2.02683213022019</v>
      </c>
      <c r="N119" s="24" t="n">
        <f aca="false">IF(N$105&gt;=$C$95,Inputs!$C$38*N108,0)</f>
        <v>2.08763709412679</v>
      </c>
      <c r="O119" s="24" t="n">
        <f aca="false">IF(O$105&gt;=$C$95,Inputs!$C$38*O108,0)</f>
        <v>2.1502662069506</v>
      </c>
    </row>
    <row r="120" customFormat="false" ht="15" hidden="false" customHeight="false" outlineLevel="0" collapsed="false">
      <c r="B120" s="9" t="s">
        <v>156</v>
      </c>
      <c r="E120" s="24" t="n">
        <f aca="false">Inputs!$C$12*(E113+E116)</f>
        <v>0.52992</v>
      </c>
      <c r="F120" s="24" t="n">
        <f aca="false">Inputs!$C$12*(F113+F116)</f>
        <v>0.5405184</v>
      </c>
      <c r="G120" s="24" t="n">
        <f aca="false">Inputs!$C$12*(G113+G116)</f>
        <v>0.843168768</v>
      </c>
      <c r="H120" s="24" t="n">
        <f aca="false">Inputs!$C$12*(H113+H116)</f>
        <v>0.86003214336</v>
      </c>
      <c r="I120" s="24" t="n">
        <f aca="false">Inputs!$C$12*(I113+I116)</f>
        <v>0.8772327862272</v>
      </c>
      <c r="J120" s="24" t="n">
        <f aca="false">Inputs!$C$12*(J113+J116)</f>
        <v>0.894777441951744</v>
      </c>
      <c r="K120" s="24" t="n">
        <f aca="false">Inputs!$C$12*(K113+K116)</f>
        <v>0.912672990790779</v>
      </c>
      <c r="L120" s="24" t="n">
        <f aca="false">Inputs!$C$12*(L113+L116)</f>
        <v>0.930926450606595</v>
      </c>
      <c r="M120" s="24" t="n">
        <f aca="false">Inputs!$C$12*(M113+M116)</f>
        <v>0.876499598538642</v>
      </c>
      <c r="N120" s="24" t="n">
        <f aca="false">Inputs!$C$12*(N113+N116)</f>
        <v>0.894029590509414</v>
      </c>
      <c r="O120" s="24" t="n">
        <f aca="false">Inputs!$C$12*(O113+O116)</f>
        <v>0.911910182319603</v>
      </c>
    </row>
    <row r="121" customFormat="false" ht="15" hidden="false" customHeight="false" outlineLevel="0" collapsed="false">
      <c r="B121" s="29" t="s">
        <v>157</v>
      </c>
      <c r="E121" s="30" t="n">
        <f aca="false">E113+E114+E116+E118-E115-E119-E120</f>
        <v>50.7840448</v>
      </c>
      <c r="F121" s="30" t="n">
        <f aca="false">F113+F114+F116+F118-F115-F119-F120</f>
        <v>52.141754944</v>
      </c>
      <c r="G121" s="30" t="n">
        <f aca="false">G113+G114+G116+G118-G115-G119-G120</f>
        <v>81.12377009088</v>
      </c>
      <c r="H121" s="30" t="n">
        <f aca="false">H113+H114+H116+H118-H115-H119-H120</f>
        <v>83.0607302246976</v>
      </c>
      <c r="I121" s="30" t="n">
        <f aca="false">I113+I114+I116+I118-I115-I119-I120</f>
        <v>82.3096113440529</v>
      </c>
      <c r="J121" s="30" t="n">
        <f aca="false">J113+J114+J116+J118-J115-J119-J120</f>
        <v>83.7741940203733</v>
      </c>
      <c r="K121" s="30" t="n">
        <f aca="false">K113+K114+K116+K118-K115-K119-K120</f>
        <v>85.2634091718452</v>
      </c>
      <c r="L121" s="30" t="n">
        <f aca="false">L113+L114+L116+L118-L115-L119-L120</f>
        <v>86.777623345412</v>
      </c>
      <c r="M121" s="30" t="n">
        <f aca="false">M113+M114+M116+M118-M115-M119-M120</f>
        <v>81.0857142507704</v>
      </c>
      <c r="N121" s="30" t="n">
        <f aca="false">N113+N114+N116+N118-N115-N119-N120</f>
        <v>82.5064117966473</v>
      </c>
      <c r="O121" s="30" t="n">
        <f aca="false">O113+O114+O116+O118-O115-O119-O120</f>
        <v>83.95033867589</v>
      </c>
    </row>
    <row r="122" customFormat="false" ht="15" hidden="false" customHeight="false" outlineLevel="0" collapsed="false">
      <c r="B122" s="9" t="s">
        <v>158</v>
      </c>
      <c r="E122" s="24" t="n">
        <f aca="false">Inputs!$C$13*E108*IF(AND($C$93="stranded",E$105&gt;Inputs!$C$9),Inputs!$C$56,1)+IF(E$105&gt;=$C$95,Inputs!$C$39*E108,0)</f>
        <v>1.3</v>
      </c>
      <c r="F122" s="24" t="n">
        <f aca="false">Inputs!$C$13*F108*IF(AND($C$93="stranded",F$105&gt;Inputs!$C$9),Inputs!$C$56,1)+IF(F$105&gt;=$C$95,Inputs!$C$39*F108,0)</f>
        <v>1.339</v>
      </c>
      <c r="G122" s="24" t="n">
        <f aca="false">Inputs!$C$13*G108*IF(AND($C$93="stranded",G$105&gt;Inputs!$C$9),Inputs!$C$56,1)+IF(G$105&gt;=$C$95,Inputs!$C$39*G108,0)</f>
        <v>1.90962</v>
      </c>
      <c r="H122" s="24" t="n">
        <f aca="false">Inputs!$C$13*H108*IF(AND($C$93="stranded",H$105&gt;Inputs!$C$9),Inputs!$C$56,1)+IF(H$105&gt;=$C$95,Inputs!$C$39*H108,0)</f>
        <v>1.9669086</v>
      </c>
      <c r="I122" s="24" t="n">
        <f aca="false">Inputs!$C$13*I108*IF(AND($C$93="stranded",I$105&gt;Inputs!$C$9),Inputs!$C$56,1)+IF(I$105&gt;=$C$95,Inputs!$C$39*I108,0)</f>
        <v>2.025915858</v>
      </c>
      <c r="J122" s="24" t="n">
        <f aca="false">Inputs!$C$13*J108*IF(AND($C$93="stranded",J$105&gt;Inputs!$C$9),Inputs!$C$56,1)+IF(J$105&gt;=$C$95,Inputs!$C$39*J108,0)</f>
        <v>2.08669333374</v>
      </c>
      <c r="K122" s="24" t="n">
        <f aca="false">Inputs!$C$13*K108*IF(AND($C$93="stranded",K$105&gt;Inputs!$C$9),Inputs!$C$56,1)+IF(K$105&gt;=$C$95,Inputs!$C$39*K108,0)</f>
        <v>2.1492941337522</v>
      </c>
      <c r="L122" s="24" t="n">
        <f aca="false">Inputs!$C$13*L108*IF(AND($C$93="stranded",L$105&gt;Inputs!$C$9),Inputs!$C$56,1)+IF(L$105&gt;=$C$95,Inputs!$C$39*L108,0)</f>
        <v>2.21377295776477</v>
      </c>
      <c r="M122" s="24" t="n">
        <f aca="false">Inputs!$C$13*M108*IF(AND($C$93="stranded",M$105&gt;Inputs!$C$9),Inputs!$C$56,1)+IF(M$105&gt;=$C$95,Inputs!$C$39*M108,0)</f>
        <v>2.28018614649771</v>
      </c>
      <c r="N122" s="24" t="n">
        <f aca="false">Inputs!$C$13*N108*IF(AND($C$93="stranded",N$105&gt;Inputs!$C$9),Inputs!$C$56,1)+IF(N$105&gt;=$C$95,Inputs!$C$39*N108,0)</f>
        <v>2.34859173089264</v>
      </c>
      <c r="O122" s="24" t="n">
        <f aca="false">Inputs!$C$13*O108*IF(AND($C$93="stranded",O$105&gt;Inputs!$C$9),Inputs!$C$56,1)+IF(O$105&gt;=$C$95,Inputs!$C$39*O108,0)</f>
        <v>2.41904948281942</v>
      </c>
    </row>
    <row r="123" customFormat="false" ht="15" hidden="false" customHeight="false" outlineLevel="0" collapsed="false">
      <c r="B123" s="9" t="s">
        <v>159</v>
      </c>
      <c r="E123" s="24" t="n">
        <f aca="false">IF(OR(E$105=1,E$105=2),Inputs!$C$31*Inputs!$C$30/2,0)+IF(AND(E$105=2,$C$95&gt;Inputs!$C$33),Inputs!$C$31*Inputs!$C$30*Inputs!$C$36*($C$95-Inputs!$C$33),0)</f>
        <v>84</v>
      </c>
      <c r="F123" s="24" t="n">
        <f aca="false">IF(OR(F$105=1,F$105=2),Inputs!$C$31*Inputs!$C$30/2,0)+IF(AND(F$105=2,$C$95&gt;Inputs!$C$33),Inputs!$C$31*Inputs!$C$30*Inputs!$C$36*($C$95-Inputs!$C$33),0)</f>
        <v>84</v>
      </c>
      <c r="G123" s="24" t="n">
        <f aca="false">IF(OR(G$105=1,G$105=2),Inputs!$C$31*Inputs!$C$30/2,0)+IF(AND(G$105=2,$C$95&gt;Inputs!$C$33),Inputs!$C$31*Inputs!$C$30*Inputs!$C$36*($C$95-Inputs!$C$33),0)</f>
        <v>0</v>
      </c>
      <c r="H123" s="24" t="n">
        <f aca="false">IF(OR(H$105=1,H$105=2),Inputs!$C$31*Inputs!$C$30/2,0)+IF(AND(H$105=2,$C$95&gt;Inputs!$C$33),Inputs!$C$31*Inputs!$C$30*Inputs!$C$36*($C$95-Inputs!$C$33),0)</f>
        <v>0</v>
      </c>
      <c r="I123" s="24" t="n">
        <f aca="false">IF(OR(I$105=1,I$105=2),Inputs!$C$31*Inputs!$C$30/2,0)+IF(AND(I$105=2,$C$95&gt;Inputs!$C$33),Inputs!$C$31*Inputs!$C$30*Inputs!$C$36*($C$95-Inputs!$C$33),0)</f>
        <v>0</v>
      </c>
      <c r="J123" s="24" t="n">
        <f aca="false">IF(OR(J$105=1,J$105=2),Inputs!$C$31*Inputs!$C$30/2,0)+IF(AND(J$105=2,$C$95&gt;Inputs!$C$33),Inputs!$C$31*Inputs!$C$30*Inputs!$C$36*($C$95-Inputs!$C$33),0)</f>
        <v>0</v>
      </c>
      <c r="K123" s="24" t="n">
        <f aca="false">IF(OR(K$105=1,K$105=2),Inputs!$C$31*Inputs!$C$30/2,0)+IF(AND(K$105=2,$C$95&gt;Inputs!$C$33),Inputs!$C$31*Inputs!$C$30*Inputs!$C$36*($C$95-Inputs!$C$33),0)</f>
        <v>0</v>
      </c>
      <c r="L123" s="24" t="n">
        <f aca="false">IF(OR(L$105=1,L$105=2),Inputs!$C$31*Inputs!$C$30/2,0)+IF(AND(L$105=2,$C$95&gt;Inputs!$C$33),Inputs!$C$31*Inputs!$C$30*Inputs!$C$36*($C$95-Inputs!$C$33),0)</f>
        <v>0</v>
      </c>
      <c r="M123" s="24" t="n">
        <f aca="false">IF(OR(M$105=1,M$105=2),Inputs!$C$31*Inputs!$C$30/2,0)+IF(AND(M$105=2,$C$95&gt;Inputs!$C$33),Inputs!$C$31*Inputs!$C$30*Inputs!$C$36*($C$95-Inputs!$C$33),0)</f>
        <v>0</v>
      </c>
      <c r="N123" s="24" t="n">
        <f aca="false">IF(OR(N$105=1,N$105=2),Inputs!$C$31*Inputs!$C$30/2,0)+IF(AND(N$105=2,$C$95&gt;Inputs!$C$33),Inputs!$C$31*Inputs!$C$30*Inputs!$C$36*($C$95-Inputs!$C$33),0)</f>
        <v>0</v>
      </c>
      <c r="O123" s="24" t="n">
        <f aca="false">IF(OR(O$105=1,O$105=2),Inputs!$C$31*Inputs!$C$30/2,0)+IF(AND(O$105=2,$C$95&gt;Inputs!$C$33),Inputs!$C$31*Inputs!$C$30*Inputs!$C$36*($C$95-Inputs!$C$33),0)</f>
        <v>0</v>
      </c>
    </row>
    <row r="124" customFormat="false" ht="15" hidden="false" customHeight="false" outlineLevel="0" collapsed="false">
      <c r="B124" s="9" t="s">
        <v>160</v>
      </c>
      <c r="E124" s="24" t="n">
        <f aca="false">IF(E$105=Inputs!$C$9+1,Inputs!$C$6*IF($C$93="renew",Inputs!$C$44,IF($C$93="retrofit",Inputs!$C$45,IF($C$93="relet",Inputs!$C$55,0))),0)</f>
        <v>0</v>
      </c>
      <c r="F124" s="24" t="n">
        <f aca="false">IF(F$105=Inputs!$C$9+1,Inputs!$C$6*IF($C$93="renew",Inputs!$C$44,IF($C$93="retrofit",Inputs!$C$45,IF($C$93="relet",Inputs!$C$55,0))),0)</f>
        <v>0</v>
      </c>
      <c r="G124" s="24" t="n">
        <f aca="false">IF(G$105=Inputs!$C$9+1,Inputs!$C$6*IF($C$93="renew",Inputs!$C$44,IF($C$93="retrofit",Inputs!$C$45,IF($C$93="relet",Inputs!$C$55,0))),0)</f>
        <v>0</v>
      </c>
      <c r="H124" s="24" t="n">
        <f aca="false">IF(H$105=Inputs!$C$9+1,Inputs!$C$6*IF($C$93="renew",Inputs!$C$44,IF($C$93="retrofit",Inputs!$C$45,IF($C$93="relet",Inputs!$C$55,0))),0)</f>
        <v>0</v>
      </c>
      <c r="I124" s="24" t="n">
        <f aca="false">IF(I$105=Inputs!$C$9+1,Inputs!$C$6*IF($C$93="renew",Inputs!$C$44,IF($C$93="retrofit",Inputs!$C$45,IF($C$93="relet",Inputs!$C$55,0))),0)</f>
        <v>0</v>
      </c>
      <c r="J124" s="24" t="n">
        <f aca="false">IF(J$105=Inputs!$C$9+1,Inputs!$C$6*IF($C$93="renew",Inputs!$C$44,IF($C$93="retrofit",Inputs!$C$45,IF($C$93="relet",Inputs!$C$55,0))),0)</f>
        <v>0</v>
      </c>
      <c r="K124" s="24" t="n">
        <f aca="false">IF(K$105=Inputs!$C$9+1,Inputs!$C$6*IF($C$93="renew",Inputs!$C$44,IF($C$93="retrofit",Inputs!$C$45,IF($C$93="relet",Inputs!$C$55,0))),0)</f>
        <v>0</v>
      </c>
      <c r="L124" s="24" t="n">
        <f aca="false">IF(L$105=Inputs!$C$9+1,Inputs!$C$6*IF($C$93="renew",Inputs!$C$44,IF($C$93="retrofit",Inputs!$C$45,IF($C$93="relet",Inputs!$C$55,0))),0)</f>
        <v>0</v>
      </c>
      <c r="M124" s="24" t="n">
        <f aca="false">IF(M$105=Inputs!$C$9+1,Inputs!$C$6*IF($C$93="renew",Inputs!$C$44,IF($C$93="retrofit",Inputs!$C$45,IF($C$93="relet",Inputs!$C$55,0))),0)</f>
        <v>12.8</v>
      </c>
      <c r="N124" s="24" t="n">
        <f aca="false">IF(N$105=Inputs!$C$9+1,Inputs!$C$6*IF($C$93="renew",Inputs!$C$44,IF($C$93="retrofit",Inputs!$C$45,IF($C$93="relet",Inputs!$C$55,0))),0)</f>
        <v>0</v>
      </c>
      <c r="O124" s="24" t="n">
        <f aca="false">IF(O$105=Inputs!$C$9+1,Inputs!$C$6*IF($C$93="renew",Inputs!$C$44,IF($C$93="retrofit",Inputs!$C$45,IF($C$93="relet",Inputs!$C$55,0))),0)</f>
        <v>0</v>
      </c>
    </row>
    <row r="125" customFormat="false" ht="15" hidden="false" customHeight="false" outlineLevel="0" collapsed="false">
      <c r="B125" s="29" t="s">
        <v>161</v>
      </c>
      <c r="E125" s="30" t="n">
        <f aca="false">E121-E122-E123-E124</f>
        <v>-34.5159552</v>
      </c>
      <c r="F125" s="30" t="n">
        <f aca="false">F121-F122-F123-F124</f>
        <v>-33.197245056</v>
      </c>
      <c r="G125" s="30" t="n">
        <f aca="false">G121-G122-G123-G124</f>
        <v>79.21415009088</v>
      </c>
      <c r="H125" s="30" t="n">
        <f aca="false">H121-H122-H123-H124</f>
        <v>81.0938216246976</v>
      </c>
      <c r="I125" s="30" t="n">
        <f aca="false">I121-I122-I123-I124</f>
        <v>80.2836954860529</v>
      </c>
      <c r="J125" s="30" t="n">
        <f aca="false">J121-J122-J123-J124</f>
        <v>81.6875006866333</v>
      </c>
      <c r="K125" s="30" t="n">
        <f aca="false">K121-K122-K123-K124</f>
        <v>83.114115038093</v>
      </c>
      <c r="L125" s="30" t="n">
        <f aca="false">L121-L122-L123-L124</f>
        <v>84.5638503876472</v>
      </c>
      <c r="M125" s="30" t="n">
        <f aca="false">M121-M122-M123-M124</f>
        <v>66.0055281042727</v>
      </c>
      <c r="N125" s="30" t="n">
        <f aca="false">N121-N122-N123-N124</f>
        <v>80.1578200657546</v>
      </c>
      <c r="O125" s="30" t="n">
        <f aca="false">O121-O122-O123-O124</f>
        <v>81.5312891930706</v>
      </c>
    </row>
    <row r="126" customFormat="false" ht="15" hidden="false" customHeight="false" outlineLevel="0" collapsed="false">
      <c r="B126" s="6" t="s">
        <v>162</v>
      </c>
    </row>
    <row r="128" customFormat="false" ht="15" hidden="false" customHeight="false" outlineLevel="0" collapsed="false">
      <c r="B128" s="9" t="s">
        <v>163</v>
      </c>
      <c r="C128" s="23" t="n">
        <f aca="false">IF($C$93="renew",Inputs!$C$67,IF($C$93="retrofit",Inputs!$C$68,IF($C$93="relet",Inputs!$C$69,Inputs!$C$70)))+$C$99</f>
        <v>0.0625</v>
      </c>
    </row>
    <row r="129" customFormat="false" ht="15" hidden="false" customHeight="false" outlineLevel="0" collapsed="false">
      <c r="B129" s="9" t="s">
        <v>164</v>
      </c>
      <c r="C129" s="24" t="n">
        <f aca="false">O116+O118-O119-Inputs!$C$12*O116</f>
        <v>32.1051648944678</v>
      </c>
    </row>
    <row r="130" customFormat="false" ht="15" hidden="false" customHeight="false" outlineLevel="0" collapsed="false">
      <c r="B130" s="9" t="s">
        <v>165</v>
      </c>
      <c r="C130" s="24" t="n">
        <f aca="false">O121-$C$129</f>
        <v>51.8451737814222</v>
      </c>
    </row>
    <row r="131" customFormat="false" ht="15" hidden="false" customHeight="false" outlineLevel="0" collapsed="false">
      <c r="B131" s="9" t="s">
        <v>166</v>
      </c>
      <c r="C131" s="24" t="n">
        <f aca="false">IF($C$93="stranded",Inputs!$C$57*Inputs!$C$6-Inputs!$C$58,0)</f>
        <v>0</v>
      </c>
    </row>
    <row r="132" customFormat="false" ht="15" hidden="false" customHeight="false" outlineLevel="0" collapsed="false">
      <c r="B132" s="9" t="s">
        <v>167</v>
      </c>
      <c r="C132" s="24" t="n">
        <f aca="false">($C$129+$C$130)/$C$128+$C$131</f>
        <v>1343.20541881424</v>
      </c>
    </row>
    <row r="133" customFormat="false" ht="15" hidden="false" customHeight="false" outlineLevel="0" collapsed="false">
      <c r="B133" s="29" t="s">
        <v>168</v>
      </c>
      <c r="C133" s="30" t="n">
        <f aca="false">$C$132*(1-Inputs!$C$66)</f>
        <v>1323.05733753203</v>
      </c>
    </row>
    <row r="134" customFormat="false" ht="15" hidden="false" customHeight="false" outlineLevel="0" collapsed="false">
      <c r="B134" s="9" t="s">
        <v>169</v>
      </c>
      <c r="C134" s="24" t="n">
        <f aca="false">$C$103*(1+Inputs!$C$65)</f>
        <v>918</v>
      </c>
    </row>
    <row r="136" customFormat="false" ht="15" hidden="false" customHeight="false" outlineLevel="0" collapsed="false">
      <c r="B136" s="25" t="s">
        <v>170</v>
      </c>
      <c r="C136" s="26"/>
      <c r="D136" s="26" t="n">
        <v>0</v>
      </c>
      <c r="E136" s="26" t="n">
        <v>1</v>
      </c>
      <c r="F136" s="26" t="n">
        <v>2</v>
      </c>
      <c r="G136" s="26" t="n">
        <v>3</v>
      </c>
      <c r="H136" s="26" t="n">
        <v>4</v>
      </c>
      <c r="I136" s="26" t="n">
        <v>5</v>
      </c>
      <c r="J136" s="26" t="n">
        <v>6</v>
      </c>
      <c r="K136" s="26" t="n">
        <v>7</v>
      </c>
      <c r="L136" s="26" t="n">
        <v>8</v>
      </c>
      <c r="M136" s="26" t="n">
        <v>9</v>
      </c>
      <c r="N136" s="26" t="n">
        <v>10</v>
      </c>
    </row>
    <row r="137" customFormat="false" ht="15" hidden="false" customHeight="false" outlineLevel="0" collapsed="false">
      <c r="B137" s="29" t="s">
        <v>171</v>
      </c>
      <c r="D137" s="30" t="n">
        <f aca="false">-$C$134</f>
        <v>-918</v>
      </c>
      <c r="E137" s="30" t="n">
        <f aca="false">E125</f>
        <v>-34.5159552</v>
      </c>
      <c r="F137" s="30" t="n">
        <f aca="false">F125</f>
        <v>-33.197245056</v>
      </c>
      <c r="G137" s="30" t="n">
        <f aca="false">G125</f>
        <v>79.21415009088</v>
      </c>
      <c r="H137" s="30" t="n">
        <f aca="false">H125</f>
        <v>81.0938216246976</v>
      </c>
      <c r="I137" s="30" t="n">
        <f aca="false">I125</f>
        <v>80.2836954860529</v>
      </c>
      <c r="J137" s="30" t="n">
        <f aca="false">J125</f>
        <v>81.6875006866333</v>
      </c>
      <c r="K137" s="30" t="n">
        <f aca="false">K125</f>
        <v>83.114115038093</v>
      </c>
      <c r="L137" s="30" t="n">
        <f aca="false">L125</f>
        <v>84.5638503876472</v>
      </c>
      <c r="M137" s="30" t="n">
        <f aca="false">M125</f>
        <v>66.0055281042727</v>
      </c>
      <c r="N137" s="30" t="n">
        <f aca="false">N125+$C$133</f>
        <v>1403.21515759778</v>
      </c>
    </row>
    <row r="138" customFormat="false" ht="15" hidden="false" customHeight="false" outlineLevel="0" collapsed="false">
      <c r="B138" s="29" t="s">
        <v>172</v>
      </c>
      <c r="C138" s="31" t="n">
        <f aca="false">IRR(D137:N137,0.08)</f>
        <v>0.0835663755631894</v>
      </c>
    </row>
    <row r="140" customFormat="false" ht="15" hidden="false" customHeight="false" outlineLevel="0" collapsed="false">
      <c r="B140" s="9" t="s">
        <v>180</v>
      </c>
      <c r="C140" s="24" t="n">
        <f aca="false">Inputs!$C$77*$C$103</f>
        <v>495</v>
      </c>
    </row>
    <row r="141" customFormat="false" ht="15" hidden="false" customHeight="false" outlineLevel="0" collapsed="false">
      <c r="B141" s="9" t="s">
        <v>181</v>
      </c>
      <c r="C141" s="24" t="n">
        <f aca="false">$C$140*Inputs!$C$78/(1-(1+Inputs!$C$78)^(-Inputs!$C$80))</f>
        <v>38.7222255150756</v>
      </c>
    </row>
    <row r="142" customFormat="false" ht="15" hidden="false" customHeight="false" outlineLevel="0" collapsed="false">
      <c r="B142" s="9" t="s">
        <v>182</v>
      </c>
      <c r="C142" s="24" t="n">
        <f aca="false">$C$140*(1+Inputs!$C$78)^(Inputs!$C$81-Inputs!$C$79)-$C$141*((1+Inputs!$C$78)^(Inputs!$C$81-Inputs!$C$79)-1)/Inputs!$C$78</f>
        <v>444.140876065435</v>
      </c>
    </row>
    <row r="143" customFormat="false" ht="15" hidden="false" customHeight="false" outlineLevel="0" collapsed="false">
      <c r="B143" s="9" t="s">
        <v>183</v>
      </c>
      <c r="C143" s="20" t="n">
        <f aca="false">IF($C$93="renew",1,0)</f>
        <v>1</v>
      </c>
    </row>
    <row r="144" customFormat="false" ht="15" hidden="false" customHeight="false" outlineLevel="0" collapsed="false">
      <c r="B144" s="9" t="s">
        <v>184</v>
      </c>
      <c r="C144" s="20" t="n">
        <f aca="false">IF($C$143=1,Inputs!$C$86,Inputs!$C$87)</f>
        <v>20</v>
      </c>
    </row>
    <row r="145" customFormat="false" ht="15" hidden="false" customHeight="false" outlineLevel="0" collapsed="false">
      <c r="B145" s="9" t="s">
        <v>185</v>
      </c>
      <c r="C145" s="24" t="n">
        <f aca="false">IF($C$143=1,INDEX($E$121:$O$121,(Inputs!$C$81+1))-INDEX($E$122:$O$122,(Inputs!$C$81+1)),INDEX($E$116:$O$116,(Inputs!$C$81+1))+INDEX($E$118:$O$118,(Inputs!$C$81+1))-INDEX($E$119:$O$119,(Inputs!$C$81+1))-Inputs!$C$12*INDEX($E$116:$O$116,(Inputs!$C$81+1))-Inputs!$C$39*(1+Inputs!$C$11)^((Inputs!$C$81+1)-1))</f>
        <v>84.5638503876472</v>
      </c>
    </row>
    <row r="146" customFormat="false" ht="15" hidden="false" customHeight="false" outlineLevel="0" collapsed="false">
      <c r="B146" s="9" t="s">
        <v>186</v>
      </c>
      <c r="C146" s="24" t="n">
        <f aca="false">$C$145/Inputs!$C$84</f>
        <v>60.4027502768909</v>
      </c>
    </row>
    <row r="147" customFormat="false" ht="15" hidden="false" customHeight="false" outlineLevel="0" collapsed="false">
      <c r="B147" s="9" t="s">
        <v>187</v>
      </c>
      <c r="C147" s="24" t="n">
        <f aca="false">$C$146*(1-(1+Inputs!$C$83)^(-$C$144))/Inputs!$C$83</f>
        <v>665.548141686566</v>
      </c>
    </row>
    <row r="148" customFormat="false" ht="15" hidden="false" customHeight="false" outlineLevel="0" collapsed="false">
      <c r="B148" s="9" t="s">
        <v>188</v>
      </c>
      <c r="C148" s="24" t="n">
        <f aca="false">$C$145/$C$128</f>
        <v>1353.02160620236</v>
      </c>
    </row>
    <row r="149" customFormat="false" ht="15" hidden="false" customHeight="false" outlineLevel="0" collapsed="false">
      <c r="B149" s="9" t="s">
        <v>189</v>
      </c>
      <c r="C149" s="24" t="n">
        <f aca="false">Inputs!$C$85*$C$148</f>
        <v>744.161883411295</v>
      </c>
    </row>
    <row r="150" customFormat="false" ht="15" hidden="false" customHeight="false" outlineLevel="0" collapsed="false">
      <c r="B150" s="29" t="s">
        <v>190</v>
      </c>
      <c r="C150" s="30" t="n">
        <f aca="false">MIN($C$147,$C$149)</f>
        <v>665.548141686566</v>
      </c>
    </row>
    <row r="151" customFormat="false" ht="15" hidden="false" customHeight="false" outlineLevel="0" collapsed="false">
      <c r="B151" s="29" t="s">
        <v>191</v>
      </c>
      <c r="C151" s="30" t="n">
        <f aca="false">$C$150*(1-Inputs!$C$82)-$C$142</f>
        <v>214.751784204265</v>
      </c>
    </row>
    <row r="152" customFormat="false" ht="15" hidden="false" customHeight="false" outlineLevel="0" collapsed="false">
      <c r="B152" s="9" t="s">
        <v>192</v>
      </c>
      <c r="C152" s="24" t="n">
        <f aca="false">$C$150*Inputs!$C$83/(1-(1+Inputs!$C$83)^(-$C$144))</f>
        <v>60.4027502768909</v>
      </c>
    </row>
    <row r="154" customFormat="false" ht="15" hidden="false" customHeight="false" outlineLevel="0" collapsed="false">
      <c r="B154" s="25" t="s">
        <v>193</v>
      </c>
      <c r="C154" s="26"/>
      <c r="D154" s="26" t="n">
        <v>0</v>
      </c>
      <c r="E154" s="26" t="n">
        <v>1</v>
      </c>
      <c r="F154" s="26" t="n">
        <v>2</v>
      </c>
      <c r="G154" s="26" t="n">
        <v>3</v>
      </c>
      <c r="H154" s="26" t="n">
        <v>4</v>
      </c>
      <c r="I154" s="26" t="n">
        <v>5</v>
      </c>
      <c r="J154" s="26" t="n">
        <v>6</v>
      </c>
      <c r="K154" s="26" t="n">
        <v>7</v>
      </c>
      <c r="L154" s="26" t="n">
        <v>8</v>
      </c>
      <c r="M154" s="26" t="n">
        <v>9</v>
      </c>
      <c r="N154" s="26" t="n">
        <v>10</v>
      </c>
    </row>
    <row r="155" customFormat="false" ht="15" hidden="false" customHeight="false" outlineLevel="0" collapsed="false">
      <c r="B155" s="9" t="s">
        <v>194</v>
      </c>
      <c r="E155" s="24" t="n">
        <f aca="false">$C$140</f>
        <v>495</v>
      </c>
      <c r="F155" s="24" t="n">
        <f aca="false">IF(F$154=Inputs!$C$81+1,$C$150,E159)</f>
        <v>495</v>
      </c>
      <c r="G155" s="24" t="n">
        <f aca="false">IF(G$154=Inputs!$C$81+1,$C$150,F159)</f>
        <v>495</v>
      </c>
      <c r="H155" s="24" t="n">
        <f aca="false">IF(H$154=Inputs!$C$81+1,$C$150,G159)</f>
        <v>485.977774484924</v>
      </c>
      <c r="I155" s="24" t="n">
        <f aca="false">IF(I$154=Inputs!$C$81+1,$C$150,H159)</f>
        <v>476.414215438944</v>
      </c>
      <c r="J155" s="24" t="n">
        <f aca="false">IF(J$154=Inputs!$C$81+1,$C$150,I159)</f>
        <v>466.276842850205</v>
      </c>
      <c r="K155" s="24" t="n">
        <f aca="false">IF(K$154=Inputs!$C$81+1,$C$150,J159)</f>
        <v>455.531227906142</v>
      </c>
      <c r="L155" s="24" t="n">
        <f aca="false">IF(L$154=Inputs!$C$81+1,$C$150,K159)</f>
        <v>665.548141686566</v>
      </c>
      <c r="M155" s="24" t="n">
        <f aca="false">IF(M$154=Inputs!$C$81+1,$C$150,L159)</f>
        <v>648.406020619302</v>
      </c>
      <c r="N155" s="24" t="n">
        <f aca="false">IF(N$154=Inputs!$C$81+1,$C$150,M159)</f>
        <v>630.149661682666</v>
      </c>
    </row>
    <row r="156" customFormat="false" ht="15" hidden="false" customHeight="false" outlineLevel="0" collapsed="false">
      <c r="B156" s="9" t="s">
        <v>195</v>
      </c>
      <c r="E156" s="23" t="n">
        <f aca="false">IF(E$154&lt;=Inputs!$C$81,Inputs!$C$78,Inputs!$C$83)</f>
        <v>0.06</v>
      </c>
      <c r="F156" s="23" t="n">
        <f aca="false">IF(F$154&lt;=Inputs!$C$81,Inputs!$C$78,Inputs!$C$83)</f>
        <v>0.06</v>
      </c>
      <c r="G156" s="23" t="n">
        <f aca="false">IF(G$154&lt;=Inputs!$C$81,Inputs!$C$78,Inputs!$C$83)</f>
        <v>0.06</v>
      </c>
      <c r="H156" s="23" t="n">
        <f aca="false">IF(H$154&lt;=Inputs!$C$81,Inputs!$C$78,Inputs!$C$83)</f>
        <v>0.06</v>
      </c>
      <c r="I156" s="23" t="n">
        <f aca="false">IF(I$154&lt;=Inputs!$C$81,Inputs!$C$78,Inputs!$C$83)</f>
        <v>0.06</v>
      </c>
      <c r="J156" s="23" t="n">
        <f aca="false">IF(J$154&lt;=Inputs!$C$81,Inputs!$C$78,Inputs!$C$83)</f>
        <v>0.06</v>
      </c>
      <c r="K156" s="23" t="n">
        <f aca="false">IF(K$154&lt;=Inputs!$C$81,Inputs!$C$78,Inputs!$C$83)</f>
        <v>0.06</v>
      </c>
      <c r="L156" s="23" t="n">
        <f aca="false">IF(L$154&lt;=Inputs!$C$81,Inputs!$C$78,Inputs!$C$83)</f>
        <v>0.065</v>
      </c>
      <c r="M156" s="23" t="n">
        <f aca="false">IF(M$154&lt;=Inputs!$C$81,Inputs!$C$78,Inputs!$C$83)</f>
        <v>0.065</v>
      </c>
      <c r="N156" s="23" t="n">
        <f aca="false">IF(N$154&lt;=Inputs!$C$81,Inputs!$C$78,Inputs!$C$83)</f>
        <v>0.065</v>
      </c>
    </row>
    <row r="157" customFormat="false" ht="15" hidden="false" customHeight="false" outlineLevel="0" collapsed="false">
      <c r="B157" s="9" t="s">
        <v>196</v>
      </c>
      <c r="E157" s="24" t="n">
        <f aca="false">E155*E156</f>
        <v>29.7</v>
      </c>
      <c r="F157" s="24" t="n">
        <f aca="false">F155*F156</f>
        <v>29.7</v>
      </c>
      <c r="G157" s="24" t="n">
        <f aca="false">G155*G156</f>
        <v>29.7</v>
      </c>
      <c r="H157" s="24" t="n">
        <f aca="false">H155*H156</f>
        <v>29.1586664690955</v>
      </c>
      <c r="I157" s="24" t="n">
        <f aca="false">I155*I156</f>
        <v>28.5848529263367</v>
      </c>
      <c r="J157" s="24" t="n">
        <f aca="false">J155*J156</f>
        <v>27.9766105710123</v>
      </c>
      <c r="K157" s="24" t="n">
        <f aca="false">K155*K156</f>
        <v>27.3318736743685</v>
      </c>
      <c r="L157" s="24" t="n">
        <f aca="false">L155*L156</f>
        <v>43.2606292096268</v>
      </c>
      <c r="M157" s="24" t="n">
        <f aca="false">M155*M156</f>
        <v>42.1463913402546</v>
      </c>
      <c r="N157" s="24" t="n">
        <f aca="false">N155*N156</f>
        <v>40.9597280093733</v>
      </c>
    </row>
    <row r="158" customFormat="false" ht="15" hidden="false" customHeight="false" outlineLevel="0" collapsed="false">
      <c r="B158" s="9" t="s">
        <v>197</v>
      </c>
      <c r="E158" s="24" t="n">
        <f aca="false">IF(E$154&lt;=Inputs!$C$81,IF(E$154&lt;=Inputs!$C$79,0,$C$141-E157),$C$152-E157)</f>
        <v>0</v>
      </c>
      <c r="F158" s="24" t="n">
        <f aca="false">IF(F$154&lt;=Inputs!$C$81,IF(F$154&lt;=Inputs!$C$79,0,$C$141-F157),$C$152-F157)</f>
        <v>0</v>
      </c>
      <c r="G158" s="24" t="n">
        <f aca="false">IF(G$154&lt;=Inputs!$C$81,IF(G$154&lt;=Inputs!$C$79,0,$C$141-G157),$C$152-G157)</f>
        <v>9.0222255150756</v>
      </c>
      <c r="H158" s="24" t="n">
        <f aca="false">IF(H$154&lt;=Inputs!$C$81,IF(H$154&lt;=Inputs!$C$79,0,$C$141-H157),$C$152-H157)</f>
        <v>9.56355904598014</v>
      </c>
      <c r="I158" s="24" t="n">
        <f aca="false">IF(I$154&lt;=Inputs!$C$81,IF(I$154&lt;=Inputs!$C$79,0,$C$141-I157),$C$152-I157)</f>
        <v>10.1373725887389</v>
      </c>
      <c r="J158" s="24" t="n">
        <f aca="false">IF(J$154&lt;=Inputs!$C$81,IF(J$154&lt;=Inputs!$C$79,0,$C$141-J157),$C$152-J157)</f>
        <v>10.7456149440633</v>
      </c>
      <c r="K158" s="24" t="n">
        <f aca="false">IF(K$154&lt;=Inputs!$C$81,IF(K$154&lt;=Inputs!$C$79,0,$C$141-K157),$C$152-K157)</f>
        <v>11.3903518407071</v>
      </c>
      <c r="L158" s="24" t="n">
        <f aca="false">IF(L$154&lt;=Inputs!$C$81,IF(L$154&lt;=Inputs!$C$79,0,$C$141-L157),$C$152-L157)</f>
        <v>17.1421210672641</v>
      </c>
      <c r="M158" s="24" t="n">
        <f aca="false">IF(M$154&lt;=Inputs!$C$81,IF(M$154&lt;=Inputs!$C$79,0,$C$141-M157),$C$152-M157)</f>
        <v>18.2563589366362</v>
      </c>
      <c r="N158" s="24" t="n">
        <f aca="false">IF(N$154&lt;=Inputs!$C$81,IF(N$154&lt;=Inputs!$C$79,0,$C$141-N157),$C$152-N157)</f>
        <v>19.4430222675176</v>
      </c>
    </row>
    <row r="159" customFormat="false" ht="15" hidden="false" customHeight="false" outlineLevel="0" collapsed="false">
      <c r="B159" s="29" t="s">
        <v>198</v>
      </c>
      <c r="E159" s="30" t="n">
        <f aca="false">E155-E158</f>
        <v>495</v>
      </c>
      <c r="F159" s="30" t="n">
        <f aca="false">F155-F158</f>
        <v>495</v>
      </c>
      <c r="G159" s="30" t="n">
        <f aca="false">G155-G158</f>
        <v>485.977774484924</v>
      </c>
      <c r="H159" s="30" t="n">
        <f aca="false">H155-H158</f>
        <v>476.414215438944</v>
      </c>
      <c r="I159" s="30" t="n">
        <f aca="false">I155-I158</f>
        <v>466.276842850205</v>
      </c>
      <c r="J159" s="30" t="n">
        <f aca="false">J155-J158</f>
        <v>455.531227906142</v>
      </c>
      <c r="K159" s="30" t="n">
        <f aca="false">K155-K158</f>
        <v>444.140876065435</v>
      </c>
      <c r="L159" s="30" t="n">
        <f aca="false">L155-L158</f>
        <v>648.406020619302</v>
      </c>
      <c r="M159" s="30" t="n">
        <f aca="false">M155-M158</f>
        <v>630.149661682666</v>
      </c>
      <c r="N159" s="30" t="n">
        <f aca="false">N155-N158</f>
        <v>610.706639415148</v>
      </c>
    </row>
    <row r="160" customFormat="false" ht="15" hidden="false" customHeight="false" outlineLevel="0" collapsed="false">
      <c r="B160" s="9" t="s">
        <v>199</v>
      </c>
      <c r="E160" s="24" t="n">
        <f aca="false">E157+E158</f>
        <v>29.7</v>
      </c>
      <c r="F160" s="24" t="n">
        <f aca="false">F157+F158</f>
        <v>29.7</v>
      </c>
      <c r="G160" s="24" t="n">
        <f aca="false">G157+G158</f>
        <v>38.7222255150756</v>
      </c>
      <c r="H160" s="24" t="n">
        <f aca="false">H157+H158</f>
        <v>38.7222255150756</v>
      </c>
      <c r="I160" s="24" t="n">
        <f aca="false">I157+I158</f>
        <v>38.7222255150756</v>
      </c>
      <c r="J160" s="24" t="n">
        <f aca="false">J157+J158</f>
        <v>38.7222255150756</v>
      </c>
      <c r="K160" s="24" t="n">
        <f aca="false">K157+K158</f>
        <v>38.7222255150756</v>
      </c>
      <c r="L160" s="24" t="n">
        <f aca="false">L157+L158</f>
        <v>60.4027502768909</v>
      </c>
      <c r="M160" s="24" t="n">
        <f aca="false">M157+M158</f>
        <v>60.4027502768909</v>
      </c>
      <c r="N160" s="24" t="n">
        <f aca="false">N157+N158</f>
        <v>60.4027502768909</v>
      </c>
    </row>
    <row r="161" customFormat="false" ht="15" hidden="false" customHeight="false" outlineLevel="0" collapsed="false">
      <c r="B161" s="9" t="s">
        <v>200</v>
      </c>
      <c r="E161" s="22" t="n">
        <f aca="false">(E121-E122)/E160</f>
        <v>1.66612945454545</v>
      </c>
      <c r="F161" s="22" t="n">
        <f aca="false">(F121-F122)/F160</f>
        <v>1.71053046949495</v>
      </c>
      <c r="G161" s="22" t="n">
        <f aca="false">(G121-G122)/G160</f>
        <v>2.04570241088131</v>
      </c>
      <c r="H161" s="22" t="n">
        <f aca="false">(H121-H122)/H160</f>
        <v>2.09424485669414</v>
      </c>
      <c r="I161" s="22" t="n">
        <f aca="false">(I121-I122)/I160</f>
        <v>2.07332338000036</v>
      </c>
      <c r="J161" s="22" t="n">
        <f aca="false">(J121-J122)/J160</f>
        <v>2.10957659587077</v>
      </c>
      <c r="K161" s="22" t="n">
        <f aca="false">(K121-K122)/K160</f>
        <v>2.14641885719441</v>
      </c>
      <c r="L161" s="22" t="n">
        <f aca="false">(L121-L122)/L160</f>
        <v>1.4</v>
      </c>
      <c r="M161" s="22" t="n">
        <f aca="false">(M121-M122)/M160</f>
        <v>1.30466787924427</v>
      </c>
      <c r="N161" s="22" t="n">
        <f aca="false">(N121-N122)/N160</f>
        <v>1.32705579958371</v>
      </c>
    </row>
    <row r="162" customFormat="false" ht="15" hidden="false" customHeight="false" outlineLevel="0" collapsed="false">
      <c r="B162" s="29" t="s">
        <v>201</v>
      </c>
      <c r="C162" s="32" t="n">
        <f aca="false">MIN(I161:K161)</f>
        <v>2.07332338000036</v>
      </c>
    </row>
    <row r="164" customFormat="false" ht="15" hidden="false" customHeight="false" outlineLevel="0" collapsed="false">
      <c r="B164" s="25" t="s">
        <v>202</v>
      </c>
      <c r="C164" s="26"/>
      <c r="D164" s="26" t="n">
        <v>0</v>
      </c>
      <c r="E164" s="26" t="n">
        <v>1</v>
      </c>
      <c r="F164" s="26" t="n">
        <v>2</v>
      </c>
      <c r="G164" s="26" t="n">
        <v>3</v>
      </c>
      <c r="H164" s="26" t="n">
        <v>4</v>
      </c>
      <c r="I164" s="26" t="n">
        <v>5</v>
      </c>
      <c r="J164" s="26" t="n">
        <v>6</v>
      </c>
      <c r="K164" s="26" t="n">
        <v>7</v>
      </c>
      <c r="L164" s="26" t="n">
        <v>8</v>
      </c>
      <c r="M164" s="26" t="n">
        <v>9</v>
      </c>
      <c r="N164" s="26" t="n">
        <v>10</v>
      </c>
    </row>
    <row r="165" customFormat="false" ht="15" hidden="false" customHeight="false" outlineLevel="0" collapsed="false">
      <c r="B165" s="9" t="s">
        <v>203</v>
      </c>
      <c r="D165" s="24" t="n">
        <f aca="false">$C$140*(1-Inputs!$C$82)</f>
        <v>490.05</v>
      </c>
      <c r="E165" s="24" t="n">
        <f aca="false">-E160+IF(E$154=Inputs!$C$81,$C$151,0)</f>
        <v>-29.7</v>
      </c>
      <c r="F165" s="24" t="n">
        <f aca="false">-F160+IF(F$154=Inputs!$C$81,$C$151,0)</f>
        <v>-29.7</v>
      </c>
      <c r="G165" s="24" t="n">
        <f aca="false">-G160+IF(G$154=Inputs!$C$81,$C$151,0)</f>
        <v>-38.7222255150756</v>
      </c>
      <c r="H165" s="24" t="n">
        <f aca="false">-H160+IF(H$154=Inputs!$C$81,$C$151,0)</f>
        <v>-38.7222255150756</v>
      </c>
      <c r="I165" s="24" t="n">
        <f aca="false">-I160+IF(I$154=Inputs!$C$81,$C$151,0)</f>
        <v>-38.7222255150756</v>
      </c>
      <c r="J165" s="24" t="n">
        <f aca="false">-J160+IF(J$154=Inputs!$C$81,$C$151,0)</f>
        <v>-38.7222255150756</v>
      </c>
      <c r="K165" s="24" t="n">
        <f aca="false">-K160+IF(K$154=Inputs!$C$81,$C$151,0)</f>
        <v>176.02955868919</v>
      </c>
      <c r="L165" s="24" t="n">
        <f aca="false">-L160+IF(L$154=Inputs!$C$81,$C$151,0)</f>
        <v>-60.4027502768909</v>
      </c>
      <c r="M165" s="24" t="n">
        <f aca="false">-M160+IF(M$154=Inputs!$C$81,$C$151,0)</f>
        <v>-60.4027502768909</v>
      </c>
      <c r="N165" s="24" t="n">
        <f aca="false">-N160+IF(N$154=Inputs!$C$81,$C$151,0)-N159</f>
        <v>-671.109389692039</v>
      </c>
    </row>
    <row r="166" customFormat="false" ht="15" hidden="false" customHeight="false" outlineLevel="0" collapsed="false">
      <c r="B166" s="29" t="s">
        <v>202</v>
      </c>
      <c r="D166" s="30" t="n">
        <f aca="false">D137+D165</f>
        <v>-427.95</v>
      </c>
      <c r="E166" s="30" t="n">
        <f aca="false">E137+E165</f>
        <v>-64.2159552</v>
      </c>
      <c r="F166" s="30" t="n">
        <f aca="false">F137+F165</f>
        <v>-62.897245056</v>
      </c>
      <c r="G166" s="30" t="n">
        <f aca="false">G137+G165</f>
        <v>40.4919245758044</v>
      </c>
      <c r="H166" s="30" t="n">
        <f aca="false">H137+H165</f>
        <v>42.371596109622</v>
      </c>
      <c r="I166" s="30" t="n">
        <f aca="false">I137+I165</f>
        <v>41.5614699709773</v>
      </c>
      <c r="J166" s="30" t="n">
        <f aca="false">J137+J165</f>
        <v>42.9652751715577</v>
      </c>
      <c r="K166" s="30" t="n">
        <f aca="false">K137+K165</f>
        <v>259.143673727283</v>
      </c>
      <c r="L166" s="30" t="n">
        <f aca="false">L137+L165</f>
        <v>24.1611001107563</v>
      </c>
      <c r="M166" s="30" t="n">
        <f aca="false">M137+M165</f>
        <v>5.60277782738186</v>
      </c>
      <c r="N166" s="30" t="n">
        <f aca="false">N137+N165</f>
        <v>732.105767905742</v>
      </c>
    </row>
    <row r="167" customFormat="false" ht="15" hidden="false" customHeight="false" outlineLevel="0" collapsed="false">
      <c r="B167" s="29" t="s">
        <v>204</v>
      </c>
      <c r="C167" s="31" t="n">
        <f aca="false">IRR(D166:N166,0.08)</f>
        <v>0.1</v>
      </c>
    </row>
    <row r="168" customFormat="false" ht="15" hidden="false" customHeight="false" outlineLevel="0" collapsed="false">
      <c r="B168" s="9" t="s">
        <v>205</v>
      </c>
      <c r="C168" s="33" t="n">
        <f aca="false">SUMIF(D166:N166,"&gt;0")/-SUMIF(D166:N166,"&lt;0")</f>
        <v>2.14102391376517</v>
      </c>
    </row>
    <row r="169" customFormat="false" ht="15" hidden="false" customHeight="false" outlineLevel="0" collapsed="false">
      <c r="B169" s="9" t="s">
        <v>206</v>
      </c>
      <c r="C169" s="24" t="n">
        <f aca="false">-D166</f>
        <v>427.95</v>
      </c>
    </row>
    <row r="171" customFormat="false" ht="15" hidden="false" customHeight="false" outlineLevel="0" collapsed="false">
      <c r="B171" s="29" t="s">
        <v>268</v>
      </c>
      <c r="C171" s="31" t="n">
        <f aca="false">Inputs!$C$97</f>
        <v>0.1</v>
      </c>
    </row>
    <row r="172" customFormat="false" ht="15" hidden="false" customHeight="false" outlineLevel="0" collapsed="false">
      <c r="B172" s="29" t="s">
        <v>269</v>
      </c>
      <c r="C172" s="31" t="n">
        <f aca="false">Thresholds!$C$167</f>
        <v>0.1</v>
      </c>
    </row>
    <row r="173" customFormat="false" ht="15" hidden="false" customHeight="false" outlineLevel="0" collapsed="false">
      <c r="B173" s="29" t="s">
        <v>264</v>
      </c>
      <c r="C173" s="37" t="n">
        <f aca="false">C172-C171</f>
        <v>0</v>
      </c>
    </row>
    <row r="174" customFormat="false" ht="15" hidden="false" customHeight="false" outlineLevel="0" collapsed="false">
      <c r="B174" s="29" t="s">
        <v>265</v>
      </c>
      <c r="C174" s="38" t="str">
        <f aca="false">IF(ABS(C173)&lt;=0.000001,"OK","FAIL")</f>
        <v>OK</v>
      </c>
    </row>
    <row r="177" customFormat="false" ht="15" hidden="false" customHeight="false" outlineLevel="0" collapsed="false">
      <c r="B177" s="7" t="s">
        <v>270</v>
      </c>
      <c r="C177" s="8"/>
      <c r="D177" s="8"/>
      <c r="E177" s="8"/>
      <c r="F177" s="8"/>
      <c r="G177" s="8"/>
      <c r="H177" s="8"/>
      <c r="I177" s="8"/>
      <c r="J177" s="8"/>
      <c r="K177" s="8"/>
      <c r="L177" s="8"/>
      <c r="M177" s="8"/>
      <c r="N177" s="8"/>
      <c r="O177" s="8"/>
    </row>
    <row r="178" customFormat="false" ht="15" hidden="false" customHeight="false" outlineLevel="0" collapsed="false">
      <c r="B178" s="29" t="s">
        <v>271</v>
      </c>
      <c r="C178" s="35" t="n">
        <v>1.555590028086</v>
      </c>
      <c r="D178" s="6" t="s">
        <v>261</v>
      </c>
    </row>
    <row r="179" customFormat="false" ht="15" hidden="false" customHeight="false" outlineLevel="0" collapsed="false">
      <c r="B179" s="9" t="s">
        <v>130</v>
      </c>
      <c r="C179" s="18" t="str">
        <f aca="false">Inputs!$C$42</f>
        <v>renew</v>
      </c>
    </row>
    <row r="180" customFormat="false" ht="15" hidden="false" customHeight="false" outlineLevel="0" collapsed="false">
      <c r="B180" s="9" t="s">
        <v>131</v>
      </c>
      <c r="C180" s="19" t="n">
        <f aca="false">$C$178</f>
        <v>1.555590028086</v>
      </c>
    </row>
    <row r="181" customFormat="false" ht="15" hidden="false" customHeight="false" outlineLevel="0" collapsed="false">
      <c r="B181" s="9" t="s">
        <v>132</v>
      </c>
      <c r="C181" s="20" t="n">
        <f aca="false">Inputs!$C$32</f>
        <v>3</v>
      </c>
    </row>
    <row r="182" customFormat="false" ht="15" hidden="false" customHeight="false" outlineLevel="0" collapsed="false">
      <c r="B182" s="9" t="s">
        <v>133</v>
      </c>
      <c r="C182" s="13" t="n">
        <v>0</v>
      </c>
    </row>
    <row r="183" customFormat="false" ht="15" hidden="false" customHeight="false" outlineLevel="0" collapsed="false">
      <c r="B183" s="9" t="s">
        <v>134</v>
      </c>
      <c r="C183" s="21" t="n">
        <f aca="false">Inputs!$C$60</f>
        <v>0.45</v>
      </c>
    </row>
    <row r="184" customFormat="false" ht="15" hidden="false" customHeight="false" outlineLevel="0" collapsed="false">
      <c r="B184" s="9" t="s">
        <v>135</v>
      </c>
      <c r="C184" s="22" t="n">
        <f aca="false">Inputs!$C$61</f>
        <v>1.55</v>
      </c>
    </row>
    <row r="185" customFormat="false" ht="15" hidden="false" customHeight="false" outlineLevel="0" collapsed="false">
      <c r="B185" s="9" t="s">
        <v>136</v>
      </c>
      <c r="C185" s="23" t="n">
        <f aca="false">Inputs!$C$71</f>
        <v>0</v>
      </c>
    </row>
    <row r="186" customFormat="false" ht="15" hidden="false" customHeight="false" outlineLevel="0" collapsed="false">
      <c r="B186" s="9" t="s">
        <v>30</v>
      </c>
      <c r="C186" s="22" t="n">
        <f aca="false">Inputs!$C$18</f>
        <v>1.4</v>
      </c>
    </row>
    <row r="187" customFormat="false" ht="15" hidden="false" customHeight="false" outlineLevel="0" collapsed="false">
      <c r="B187" s="9" t="s">
        <v>137</v>
      </c>
      <c r="C187" s="19" t="n">
        <f aca="false">Inputs!$C$43</f>
        <v>0.9</v>
      </c>
    </row>
    <row r="188" customFormat="false" ht="15" hidden="false" customHeight="false" outlineLevel="0" collapsed="false">
      <c r="B188" s="9" t="s">
        <v>138</v>
      </c>
      <c r="C188" s="24" t="n">
        <f aca="false">Inputs!$C$49</f>
        <v>120</v>
      </c>
    </row>
    <row r="189" customFormat="false" ht="15" hidden="false" customHeight="false" outlineLevel="0" collapsed="false">
      <c r="B189" s="9" t="s">
        <v>139</v>
      </c>
      <c r="C189" s="24" t="n">
        <f aca="false">Inputs!$C$64</f>
        <v>900</v>
      </c>
    </row>
    <row r="190" customFormat="false" ht="15" hidden="false" customHeight="false" outlineLevel="0" collapsed="false">
      <c r="B190" s="9" t="s">
        <v>140</v>
      </c>
      <c r="C190" s="24" t="n">
        <f aca="false">Inputs!$C$6*1000*Inputs!$C$7*12*(1+Inputs!$C$8)^(Inputs!$C$9-1)/1000000</f>
        <v>60.8711509000706</v>
      </c>
    </row>
    <row r="191" customFormat="false" ht="15" hidden="false" customHeight="false" outlineLevel="0" collapsed="false">
      <c r="B191" s="25" t="s">
        <v>141</v>
      </c>
      <c r="C191" s="26"/>
      <c r="E191" s="26" t="n">
        <v>1</v>
      </c>
      <c r="F191" s="26" t="n">
        <v>2</v>
      </c>
      <c r="G191" s="26" t="n">
        <v>3</v>
      </c>
      <c r="H191" s="26" t="n">
        <v>4</v>
      </c>
      <c r="I191" s="26" t="n">
        <v>5</v>
      </c>
      <c r="J191" s="26" t="n">
        <v>6</v>
      </c>
      <c r="K191" s="26" t="n">
        <v>7</v>
      </c>
      <c r="L191" s="26" t="n">
        <v>8</v>
      </c>
      <c r="M191" s="26" t="n">
        <v>9</v>
      </c>
      <c r="N191" s="26" t="n">
        <v>10</v>
      </c>
      <c r="O191" s="26" t="n">
        <v>11</v>
      </c>
    </row>
    <row r="192" customFormat="false" ht="15" hidden="false" customHeight="false" outlineLevel="0" collapsed="false">
      <c r="B192" s="9" t="s">
        <v>142</v>
      </c>
      <c r="E192" s="24" t="n">
        <f aca="false">IF(E$191&lt;=Inputs!$C$22,Inputs!$C$21,Inputs!$C$23*(1+Inputs!$C$24)^(E$191-5)*IF(AND($C$180&lt;&gt;0,E$191&gt;=Inputs!$C$26),1+$C$180,1))</f>
        <v>61</v>
      </c>
      <c r="F192" s="24" t="n">
        <f aca="false">IF(F$191&lt;=Inputs!$C$22,Inputs!$C$21,Inputs!$C$23*(1+Inputs!$C$24)^(F$191-5)*IF(AND($C$180&lt;&gt;0,F$191&gt;=Inputs!$C$26),1+$C$180,1))</f>
        <v>61</v>
      </c>
      <c r="G192" s="24" t="n">
        <f aca="false">IF(G$191&lt;=Inputs!$C$22,Inputs!$C$21,Inputs!$C$23*(1+Inputs!$C$24)^(G$191-5)*IF(AND($C$180&lt;&gt;0,G$191&gt;=Inputs!$C$26),1+$C$180,1))</f>
        <v>61</v>
      </c>
      <c r="H192" s="24" t="n">
        <f aca="false">IF(H$191&lt;=Inputs!$C$22,Inputs!$C$21,Inputs!$C$23*(1+Inputs!$C$24)^(H$191-5)*IF(AND($C$180&lt;&gt;0,H$191&gt;=Inputs!$C$26),1+$C$180,1))</f>
        <v>61</v>
      </c>
      <c r="I192" s="24" t="n">
        <f aca="false">IF(I$191&lt;=Inputs!$C$22,Inputs!$C$21,Inputs!$C$23*(1+Inputs!$C$24)^(I$191-5)*IF(AND($C$180&lt;&gt;0,I$191&gt;=Inputs!$C$26),1+$C$180,1))</f>
        <v>171.224531881762</v>
      </c>
      <c r="J192" s="24" t="n">
        <f aca="false">IF(J$191&lt;=Inputs!$C$22,Inputs!$C$21,Inputs!$C$23*(1+Inputs!$C$24)^(J$191-5)*IF(AND($C$180&lt;&gt;0,J$191&gt;=Inputs!$C$26),1+$C$180,1))</f>
        <v>175.505145178806</v>
      </c>
      <c r="K192" s="24" t="n">
        <f aca="false">IF(K$191&lt;=Inputs!$C$22,Inputs!$C$21,Inputs!$C$23*(1+Inputs!$C$24)^(K$191-5)*IF(AND($C$180&lt;&gt;0,K$191&gt;=Inputs!$C$26),1+$C$180,1))</f>
        <v>179.892773808276</v>
      </c>
      <c r="L192" s="24" t="n">
        <f aca="false">IF(L$191&lt;=Inputs!$C$22,Inputs!$C$21,Inputs!$C$23*(1+Inputs!$C$24)^(L$191-5)*IF(AND($C$180&lt;&gt;0,L$191&gt;=Inputs!$C$26),1+$C$180,1))</f>
        <v>184.390093153483</v>
      </c>
      <c r="M192" s="24" t="n">
        <f aca="false">IF(M$191&lt;=Inputs!$C$22,Inputs!$C$21,Inputs!$C$23*(1+Inputs!$C$24)^(M$191-5)*IF(AND($C$180&lt;&gt;0,M$191&gt;=Inputs!$C$26),1+$C$180,1))</f>
        <v>188.99984548232</v>
      </c>
      <c r="N192" s="24" t="n">
        <f aca="false">IF(N$191&lt;=Inputs!$C$22,Inputs!$C$21,Inputs!$C$23*(1+Inputs!$C$24)^(N$191-5)*IF(AND($C$180&lt;&gt;0,N$191&gt;=Inputs!$C$26),1+$C$180,1))</f>
        <v>193.724841619378</v>
      </c>
      <c r="O192" s="24" t="n">
        <f aca="false">IF(O$191&lt;=Inputs!$C$22,Inputs!$C$21,Inputs!$C$23*(1+Inputs!$C$24)^(O$191-5)*IF(AND($C$180&lt;&gt;0,O$191&gt;=Inputs!$C$26),1+$C$180,1))</f>
        <v>198.567962659863</v>
      </c>
    </row>
    <row r="193" customFormat="false" ht="15" hidden="false" customHeight="false" outlineLevel="0" collapsed="false">
      <c r="B193" s="9" t="s">
        <v>143</v>
      </c>
      <c r="E193" s="24" t="n">
        <f aca="false">Inputs!$C$19*(1+Inputs!$C$20)^(E$191-1)</f>
        <v>74</v>
      </c>
      <c r="F193" s="24" t="n">
        <f aca="false">Inputs!$C$19*(1+Inputs!$C$20)^(F$191-1)</f>
        <v>75.48</v>
      </c>
      <c r="G193" s="24" t="n">
        <f aca="false">Inputs!$C$19*(1+Inputs!$C$20)^(G$191-1)</f>
        <v>76.9896</v>
      </c>
      <c r="H193" s="24" t="n">
        <f aca="false">Inputs!$C$19*(1+Inputs!$C$20)^(H$191-1)</f>
        <v>78.529392</v>
      </c>
      <c r="I193" s="24" t="n">
        <f aca="false">Inputs!$C$19*(1+Inputs!$C$20)^(I$191-1)</f>
        <v>80.09997984</v>
      </c>
      <c r="J193" s="24" t="n">
        <f aca="false">Inputs!$C$19*(1+Inputs!$C$20)^(J$191-1)</f>
        <v>81.7019794368</v>
      </c>
      <c r="K193" s="24" t="n">
        <f aca="false">Inputs!$C$19*(1+Inputs!$C$20)^(K$191-1)</f>
        <v>83.336019025536</v>
      </c>
      <c r="L193" s="24" t="n">
        <f aca="false">Inputs!$C$19*(1+Inputs!$C$20)^(L$191-1)</f>
        <v>85.0027394060467</v>
      </c>
      <c r="M193" s="24" t="n">
        <f aca="false">Inputs!$C$19*(1+Inputs!$C$20)^(M$191-1)</f>
        <v>86.7027941941677</v>
      </c>
      <c r="N193" s="24" t="n">
        <f aca="false">Inputs!$C$19*(1+Inputs!$C$20)^(N$191-1)</f>
        <v>88.436850078051</v>
      </c>
      <c r="O193" s="24" t="n">
        <f aca="false">Inputs!$C$19*(1+Inputs!$C$20)^(O$191-1)</f>
        <v>90.205587079612</v>
      </c>
    </row>
    <row r="194" customFormat="false" ht="15" hidden="false" customHeight="false" outlineLevel="0" collapsed="false">
      <c r="B194" s="9" t="s">
        <v>144</v>
      </c>
      <c r="E194" s="27" t="n">
        <f aca="false">(1+Inputs!$C$11)^(E$191-1)</f>
        <v>1</v>
      </c>
      <c r="F194" s="27" t="n">
        <f aca="false">(1+Inputs!$C$11)^(F$191-1)</f>
        <v>1.03</v>
      </c>
      <c r="G194" s="27" t="n">
        <f aca="false">(1+Inputs!$C$11)^(G$191-1)</f>
        <v>1.0609</v>
      </c>
      <c r="H194" s="27" t="n">
        <f aca="false">(1+Inputs!$C$11)^(H$191-1)</f>
        <v>1.092727</v>
      </c>
      <c r="I194" s="27" t="n">
        <f aca="false">(1+Inputs!$C$11)^(I$191-1)</f>
        <v>1.12550881</v>
      </c>
      <c r="J194" s="27" t="n">
        <f aca="false">(1+Inputs!$C$11)^(J$191-1)</f>
        <v>1.1592740743</v>
      </c>
      <c r="K194" s="27" t="n">
        <f aca="false">(1+Inputs!$C$11)^(K$191-1)</f>
        <v>1.194052296529</v>
      </c>
      <c r="L194" s="27" t="n">
        <f aca="false">(1+Inputs!$C$11)^(L$191-1)</f>
        <v>1.22987386542487</v>
      </c>
      <c r="M194" s="27" t="n">
        <f aca="false">(1+Inputs!$C$11)^(M$191-1)</f>
        <v>1.26677008138762</v>
      </c>
      <c r="N194" s="27" t="n">
        <f aca="false">(1+Inputs!$C$11)^(N$191-1)</f>
        <v>1.30477318382925</v>
      </c>
      <c r="O194" s="27" t="n">
        <f aca="false">(1+Inputs!$C$11)^(O$191-1)</f>
        <v>1.34391637934412</v>
      </c>
    </row>
    <row r="195" customFormat="false" ht="15" hidden="false" customHeight="false" outlineLevel="0" collapsed="false">
      <c r="B195" s="9" t="s">
        <v>145</v>
      </c>
      <c r="E195" s="19" t="n">
        <f aca="false">IF(OR(E$191&lt;=Inputs!$C$9,$C$179="renew"),IF(AND($C$182&gt;0,E$191&gt;=$C$182),$C$183,Inputs!$C$16),IF($C$179="stranded",0,Inputs!$C$16))</f>
        <v>0.8</v>
      </c>
      <c r="F195" s="19" t="n">
        <f aca="false">IF(OR(F$191&lt;=Inputs!$C$9,$C$179="renew"),IF(AND($C$182&gt;0,F$191&gt;=$C$182),$C$183,Inputs!$C$16),IF($C$179="stranded",0,Inputs!$C$16))</f>
        <v>0.8</v>
      </c>
      <c r="G195" s="19" t="n">
        <f aca="false">IF(OR(G$191&lt;=Inputs!$C$9,$C$179="renew"),IF(AND($C$182&gt;0,G$191&gt;=$C$182),$C$183,Inputs!$C$16),IF($C$179="stranded",0,Inputs!$C$16))</f>
        <v>0.8</v>
      </c>
      <c r="H195" s="19" t="n">
        <f aca="false">IF(OR(H$191&lt;=Inputs!$C$9,$C$179="renew"),IF(AND($C$182&gt;0,H$191&gt;=$C$182),$C$183,Inputs!$C$16),IF($C$179="stranded",0,Inputs!$C$16))</f>
        <v>0.8</v>
      </c>
      <c r="I195" s="19" t="n">
        <f aca="false">IF(OR(I$191&lt;=Inputs!$C$9,$C$179="renew"),IF(AND($C$182&gt;0,I$191&gt;=$C$182),$C$183,Inputs!$C$16),IF($C$179="stranded",0,Inputs!$C$16))</f>
        <v>0.8</v>
      </c>
      <c r="J195" s="19" t="n">
        <f aca="false">IF(OR(J$191&lt;=Inputs!$C$9,$C$179="renew"),IF(AND($C$182&gt;0,J$191&gt;=$C$182),$C$183,Inputs!$C$16),IF($C$179="stranded",0,Inputs!$C$16))</f>
        <v>0.8</v>
      </c>
      <c r="K195" s="19" t="n">
        <f aca="false">IF(OR(K$191&lt;=Inputs!$C$9,$C$179="renew"),IF(AND($C$182&gt;0,K$191&gt;=$C$182),$C$183,Inputs!$C$16),IF($C$179="stranded",0,Inputs!$C$16))</f>
        <v>0.8</v>
      </c>
      <c r="L195" s="19" t="n">
        <f aca="false">IF(OR(L$191&lt;=Inputs!$C$9,$C$179="renew"),IF(AND($C$182&gt;0,L$191&gt;=$C$182),$C$183,Inputs!$C$16),IF($C$179="stranded",0,Inputs!$C$16))</f>
        <v>0.8</v>
      </c>
      <c r="M195" s="19" t="n">
        <f aca="false">IF(OR(M$191&lt;=Inputs!$C$9,$C$179="renew"),IF(AND($C$182&gt;0,M$191&gt;=$C$182),$C$183,Inputs!$C$16),IF($C$179="stranded",0,Inputs!$C$16))</f>
        <v>0.8</v>
      </c>
      <c r="N195" s="19" t="n">
        <f aca="false">IF(OR(N$191&lt;=Inputs!$C$9,$C$179="renew"),IF(AND($C$182&gt;0,N$191&gt;=$C$182),$C$183,Inputs!$C$16),IF($C$179="stranded",0,Inputs!$C$16))</f>
        <v>0.8</v>
      </c>
      <c r="O195" s="19" t="n">
        <f aca="false">IF(OR(O$191&lt;=Inputs!$C$9,$C$179="renew"),IF(AND($C$182&gt;0,O$191&gt;=$C$182),$C$183,Inputs!$C$16),IF($C$179="stranded",0,Inputs!$C$16))</f>
        <v>0.8</v>
      </c>
    </row>
    <row r="196" customFormat="false" ht="15" hidden="false" customHeight="false" outlineLevel="0" collapsed="false">
      <c r="B196" s="9" t="s">
        <v>146</v>
      </c>
      <c r="E196" s="22" t="n">
        <f aca="false">IF(OR(E$191&lt;=Inputs!$C$9,$C$179="renew"),IF(AND($C$182&gt;0,E$191&gt;=$C$182),$C$184,$C$186),IF($C$179="retrofit",Inputs!$C$47,IF($C$179="relet",Inputs!$C$53,0)))</f>
        <v>1.4</v>
      </c>
      <c r="F196" s="22" t="n">
        <f aca="false">IF(OR(F$191&lt;=Inputs!$C$9,$C$179="renew"),IF(AND($C$182&gt;0,F$191&gt;=$C$182),$C$184,$C$186),IF($C$179="retrofit",Inputs!$C$47,IF($C$179="relet",Inputs!$C$53,0)))</f>
        <v>1.4</v>
      </c>
      <c r="G196" s="22" t="n">
        <f aca="false">IF(OR(G$191&lt;=Inputs!$C$9,$C$179="renew"),IF(AND($C$182&gt;0,G$191&gt;=$C$182),$C$184,$C$186),IF($C$179="retrofit",Inputs!$C$47,IF($C$179="relet",Inputs!$C$53,0)))</f>
        <v>1.4</v>
      </c>
      <c r="H196" s="22" t="n">
        <f aca="false">IF(OR(H$191&lt;=Inputs!$C$9,$C$179="renew"),IF(AND($C$182&gt;0,H$191&gt;=$C$182),$C$184,$C$186),IF($C$179="retrofit",Inputs!$C$47,IF($C$179="relet",Inputs!$C$53,0)))</f>
        <v>1.4</v>
      </c>
      <c r="I196" s="22" t="n">
        <f aca="false">IF(OR(I$191&lt;=Inputs!$C$9,$C$179="renew"),IF(AND($C$182&gt;0,I$191&gt;=$C$182),$C$184,$C$186),IF($C$179="retrofit",Inputs!$C$47,IF($C$179="relet",Inputs!$C$53,0)))</f>
        <v>1.4</v>
      </c>
      <c r="J196" s="22" t="n">
        <f aca="false">IF(OR(J$191&lt;=Inputs!$C$9,$C$179="renew"),IF(AND($C$182&gt;0,J$191&gt;=$C$182),$C$184,$C$186),IF($C$179="retrofit",Inputs!$C$47,IF($C$179="relet",Inputs!$C$53,0)))</f>
        <v>1.4</v>
      </c>
      <c r="K196" s="22" t="n">
        <f aca="false">IF(OR(K$191&lt;=Inputs!$C$9,$C$179="renew"),IF(AND($C$182&gt;0,K$191&gt;=$C$182),$C$184,$C$186),IF($C$179="retrofit",Inputs!$C$47,IF($C$179="relet",Inputs!$C$53,0)))</f>
        <v>1.4</v>
      </c>
      <c r="L196" s="22" t="n">
        <f aca="false">IF(OR(L$191&lt;=Inputs!$C$9,$C$179="renew"),IF(AND($C$182&gt;0,L$191&gt;=$C$182),$C$184,$C$186),IF($C$179="retrofit",Inputs!$C$47,IF($C$179="relet",Inputs!$C$53,0)))</f>
        <v>1.4</v>
      </c>
      <c r="M196" s="22" t="n">
        <f aca="false">IF(OR(M$191&lt;=Inputs!$C$9,$C$179="renew"),IF(AND($C$182&gt;0,M$191&gt;=$C$182),$C$184,$C$186),IF($C$179="retrofit",Inputs!$C$47,IF($C$179="relet",Inputs!$C$53,0)))</f>
        <v>1.4</v>
      </c>
      <c r="N196" s="22" t="n">
        <f aca="false">IF(OR(N$191&lt;=Inputs!$C$9,$C$179="renew"),IF(AND($C$182&gt;0,N$191&gt;=$C$182),$C$184,$C$186),IF($C$179="retrofit",Inputs!$C$47,IF($C$179="relet",Inputs!$C$53,0)))</f>
        <v>1.4</v>
      </c>
      <c r="O196" s="22" t="n">
        <f aca="false">IF(OR(O$191&lt;=Inputs!$C$9,$C$179="renew"),IF(AND($C$182&gt;0,O$191&gt;=$C$182),$C$184,$C$186),IF($C$179="retrofit",Inputs!$C$47,IF($C$179="relet",Inputs!$C$53,0)))</f>
        <v>1.4</v>
      </c>
    </row>
    <row r="197" customFormat="false" ht="15" hidden="false" customHeight="false" outlineLevel="0" collapsed="false">
      <c r="B197" s="9" t="s">
        <v>147</v>
      </c>
      <c r="E197" s="21" t="n">
        <f aca="false">IF(OR(E$191&lt;=Inputs!$C$9,$C$179="renew"),1,IF($C$179="retrofit",IF(E$191-Inputs!$C$9=1,0,1),IF($C$179="relet",CHOOSE(MIN(E$191-Inputs!$C$9,3),Inputs!$C$50,Inputs!$C$51,Inputs!$C$52),0)))</f>
        <v>1</v>
      </c>
      <c r="F197" s="21" t="n">
        <f aca="false">IF(OR(F$191&lt;=Inputs!$C$9,$C$179="renew"),1,IF($C$179="retrofit",IF(F$191-Inputs!$C$9=1,0,1),IF($C$179="relet",CHOOSE(MIN(F$191-Inputs!$C$9,3),Inputs!$C$50,Inputs!$C$51,Inputs!$C$52),0)))</f>
        <v>1</v>
      </c>
      <c r="G197" s="21" t="n">
        <f aca="false">IF(OR(G$191&lt;=Inputs!$C$9,$C$179="renew"),1,IF($C$179="retrofit",IF(G$191-Inputs!$C$9=1,0,1),IF($C$179="relet",CHOOSE(MIN(G$191-Inputs!$C$9,3),Inputs!$C$50,Inputs!$C$51,Inputs!$C$52),0)))</f>
        <v>1</v>
      </c>
      <c r="H197" s="21" t="n">
        <f aca="false">IF(OR(H$191&lt;=Inputs!$C$9,$C$179="renew"),1,IF($C$179="retrofit",IF(H$191-Inputs!$C$9=1,0,1),IF($C$179="relet",CHOOSE(MIN(H$191-Inputs!$C$9,3),Inputs!$C$50,Inputs!$C$51,Inputs!$C$52),0)))</f>
        <v>1</v>
      </c>
      <c r="I197" s="21" t="n">
        <f aca="false">IF(OR(I$191&lt;=Inputs!$C$9,$C$179="renew"),1,IF($C$179="retrofit",IF(I$191-Inputs!$C$9=1,0,1),IF($C$179="relet",CHOOSE(MIN(I$191-Inputs!$C$9,3),Inputs!$C$50,Inputs!$C$51,Inputs!$C$52),0)))</f>
        <v>1</v>
      </c>
      <c r="J197" s="21" t="n">
        <f aca="false">IF(OR(J$191&lt;=Inputs!$C$9,$C$179="renew"),1,IF($C$179="retrofit",IF(J$191-Inputs!$C$9=1,0,1),IF($C$179="relet",CHOOSE(MIN(J$191-Inputs!$C$9,3),Inputs!$C$50,Inputs!$C$51,Inputs!$C$52),0)))</f>
        <v>1</v>
      </c>
      <c r="K197" s="21" t="n">
        <f aca="false">IF(OR(K$191&lt;=Inputs!$C$9,$C$179="renew"),1,IF($C$179="retrofit",IF(K$191-Inputs!$C$9=1,0,1),IF($C$179="relet",CHOOSE(MIN(K$191-Inputs!$C$9,3),Inputs!$C$50,Inputs!$C$51,Inputs!$C$52),0)))</f>
        <v>1</v>
      </c>
      <c r="L197" s="21" t="n">
        <f aca="false">IF(OR(L$191&lt;=Inputs!$C$9,$C$179="renew"),1,IF($C$179="retrofit",IF(L$191-Inputs!$C$9=1,0,1),IF($C$179="relet",CHOOSE(MIN(L$191-Inputs!$C$9,3),Inputs!$C$50,Inputs!$C$51,Inputs!$C$52),0)))</f>
        <v>1</v>
      </c>
      <c r="M197" s="21" t="n">
        <f aca="false">IF(OR(M$191&lt;=Inputs!$C$9,$C$179="renew"),1,IF($C$179="retrofit",IF(M$191-Inputs!$C$9=1,0,1),IF($C$179="relet",CHOOSE(MIN(M$191-Inputs!$C$9,3),Inputs!$C$50,Inputs!$C$51,Inputs!$C$52),0)))</f>
        <v>1</v>
      </c>
      <c r="N197" s="21" t="n">
        <f aca="false">IF(OR(N$191&lt;=Inputs!$C$9,$C$179="renew"),1,IF($C$179="retrofit",IF(N$191-Inputs!$C$9=1,0,1),IF($C$179="relet",CHOOSE(MIN(N$191-Inputs!$C$9,3),Inputs!$C$50,Inputs!$C$51,Inputs!$C$52),0)))</f>
        <v>1</v>
      </c>
      <c r="O197" s="21" t="n">
        <f aca="false">IF(OR(O$191&lt;=Inputs!$C$9,$C$179="renew"),1,IF($C$179="retrofit",IF(O$191-Inputs!$C$9=1,0,1),IF($C$179="relet",CHOOSE(MIN(O$191-Inputs!$C$9,3),Inputs!$C$50,Inputs!$C$51,Inputs!$C$52),0)))</f>
        <v>1</v>
      </c>
    </row>
    <row r="198" customFormat="false" ht="15" hidden="false" customHeight="false" outlineLevel="0" collapsed="false">
      <c r="B198" s="9" t="s">
        <v>148</v>
      </c>
      <c r="E198" s="28" t="n">
        <f aca="false">Inputs!$C$6*1000*E195*E197*8760/1000</f>
        <v>224256</v>
      </c>
      <c r="F198" s="28" t="n">
        <f aca="false">Inputs!$C$6*1000*F195*F197*8760/1000</f>
        <v>224256</v>
      </c>
      <c r="G198" s="28" t="n">
        <f aca="false">Inputs!$C$6*1000*G195*G197*8760/1000</f>
        <v>224256</v>
      </c>
      <c r="H198" s="28" t="n">
        <f aca="false">Inputs!$C$6*1000*H195*H197*8760/1000</f>
        <v>224256</v>
      </c>
      <c r="I198" s="28" t="n">
        <f aca="false">Inputs!$C$6*1000*I195*I197*8760/1000</f>
        <v>224256</v>
      </c>
      <c r="J198" s="28" t="n">
        <f aca="false">Inputs!$C$6*1000*J195*J197*8760/1000</f>
        <v>224256</v>
      </c>
      <c r="K198" s="28" t="n">
        <f aca="false">Inputs!$C$6*1000*K195*K197*8760/1000</f>
        <v>224256</v>
      </c>
      <c r="L198" s="28" t="n">
        <f aca="false">Inputs!$C$6*1000*L195*L197*8760/1000</f>
        <v>224256</v>
      </c>
      <c r="M198" s="28" t="n">
        <f aca="false">Inputs!$C$6*1000*M195*M197*8760/1000</f>
        <v>224256</v>
      </c>
      <c r="N198" s="28" t="n">
        <f aca="false">Inputs!$C$6*1000*N195*N197*8760/1000</f>
        <v>224256</v>
      </c>
      <c r="O198" s="28" t="n">
        <f aca="false">Inputs!$C$6*1000*O195*O197*8760/1000</f>
        <v>224256</v>
      </c>
    </row>
    <row r="199" customFormat="false" ht="15" hidden="false" customHeight="false" outlineLevel="0" collapsed="false">
      <c r="B199" s="9" t="s">
        <v>149</v>
      </c>
      <c r="E199" s="24" t="n">
        <f aca="false">IF(E$191&lt;=Inputs!$C$9,Inputs!$C$6*1000*Inputs!$C$7*12*(1+Inputs!$C$8)^(E$191-1)/1000000,IF($C$179="renew",$C$190*$C$187*(1+Inputs!$C$8)^(E$191-Inputs!$C$9-1),IF($C$179="retrofit",IF(E$191-Inputs!$C$9=1,0,Inputs!$C$6*1000*Inputs!$C$46*12*(1+Inputs!$C$8)^(E$191-Inputs!$C$9-2)/1000000),IF($C$179="relet",Inputs!$C$6*1000*E197*$C$188*12*(1+Inputs!$C$8)^(E$191-Inputs!$C$9-2)/1000000,0))))</f>
        <v>52.992</v>
      </c>
      <c r="F199" s="24" t="n">
        <f aca="false">IF(F$191&lt;=Inputs!$C$9,Inputs!$C$6*1000*Inputs!$C$7*12*(1+Inputs!$C$8)^(F$191-1)/1000000,IF($C$179="renew",$C$190*$C$187*(1+Inputs!$C$8)^(F$191-Inputs!$C$9-1),IF($C$179="retrofit",IF(F$191-Inputs!$C$9=1,0,Inputs!$C$6*1000*Inputs!$C$46*12*(1+Inputs!$C$8)^(F$191-Inputs!$C$9-2)/1000000),IF($C$179="relet",Inputs!$C$6*1000*F197*$C$188*12*(1+Inputs!$C$8)^(F$191-Inputs!$C$9-2)/1000000,0))))</f>
        <v>54.05184</v>
      </c>
      <c r="G199" s="24" t="n">
        <f aca="false">IF(G$191&lt;=Inputs!$C$9,Inputs!$C$6*1000*Inputs!$C$7*12*(1+Inputs!$C$8)^(G$191-1)/1000000,IF($C$179="renew",$C$190*$C$187*(1+Inputs!$C$8)^(G$191-Inputs!$C$9-1),IF($C$179="retrofit",IF(G$191-Inputs!$C$9=1,0,Inputs!$C$6*1000*Inputs!$C$46*12*(1+Inputs!$C$8)^(G$191-Inputs!$C$9-2)/1000000),IF($C$179="relet",Inputs!$C$6*1000*G197*$C$188*12*(1+Inputs!$C$8)^(G$191-Inputs!$C$9-2)/1000000,0))))</f>
        <v>55.1328768</v>
      </c>
      <c r="H199" s="24" t="n">
        <f aca="false">IF(H$191&lt;=Inputs!$C$9,Inputs!$C$6*1000*Inputs!$C$7*12*(1+Inputs!$C$8)^(H$191-1)/1000000,IF($C$179="renew",$C$190*$C$187*(1+Inputs!$C$8)^(H$191-Inputs!$C$9-1),IF($C$179="retrofit",IF(H$191-Inputs!$C$9=1,0,Inputs!$C$6*1000*Inputs!$C$46*12*(1+Inputs!$C$8)^(H$191-Inputs!$C$9-2)/1000000),IF($C$179="relet",Inputs!$C$6*1000*H197*$C$188*12*(1+Inputs!$C$8)^(H$191-Inputs!$C$9-2)/1000000,0))))</f>
        <v>56.235534336</v>
      </c>
      <c r="I199" s="24" t="n">
        <f aca="false">IF(I$191&lt;=Inputs!$C$9,Inputs!$C$6*1000*Inputs!$C$7*12*(1+Inputs!$C$8)^(I$191-1)/1000000,IF($C$179="renew",$C$190*$C$187*(1+Inputs!$C$8)^(I$191-Inputs!$C$9-1),IF($C$179="retrofit",IF(I$191-Inputs!$C$9=1,0,Inputs!$C$6*1000*Inputs!$C$46*12*(1+Inputs!$C$8)^(I$191-Inputs!$C$9-2)/1000000),IF($C$179="relet",Inputs!$C$6*1000*I197*$C$188*12*(1+Inputs!$C$8)^(I$191-Inputs!$C$9-2)/1000000,0))))</f>
        <v>57.36024502272</v>
      </c>
      <c r="J199" s="24" t="n">
        <f aca="false">IF(J$191&lt;=Inputs!$C$9,Inputs!$C$6*1000*Inputs!$C$7*12*(1+Inputs!$C$8)^(J$191-1)/1000000,IF($C$179="renew",$C$190*$C$187*(1+Inputs!$C$8)^(J$191-Inputs!$C$9-1),IF($C$179="retrofit",IF(J$191-Inputs!$C$9=1,0,Inputs!$C$6*1000*Inputs!$C$46*12*(1+Inputs!$C$8)^(J$191-Inputs!$C$9-2)/1000000),IF($C$179="relet",Inputs!$C$6*1000*J197*$C$188*12*(1+Inputs!$C$8)^(J$191-Inputs!$C$9-2)/1000000,0))))</f>
        <v>58.5074499231744</v>
      </c>
      <c r="K199" s="24" t="n">
        <f aca="false">IF(K$191&lt;=Inputs!$C$9,Inputs!$C$6*1000*Inputs!$C$7*12*(1+Inputs!$C$8)^(K$191-1)/1000000,IF($C$179="renew",$C$190*$C$187*(1+Inputs!$C$8)^(K$191-Inputs!$C$9-1),IF($C$179="retrofit",IF(K$191-Inputs!$C$9=1,0,Inputs!$C$6*1000*Inputs!$C$46*12*(1+Inputs!$C$8)^(K$191-Inputs!$C$9-2)/1000000),IF($C$179="relet",Inputs!$C$6*1000*K197*$C$188*12*(1+Inputs!$C$8)^(K$191-Inputs!$C$9-2)/1000000,0))))</f>
        <v>59.6775989216379</v>
      </c>
      <c r="L199" s="24" t="n">
        <f aca="false">IF(L$191&lt;=Inputs!$C$9,Inputs!$C$6*1000*Inputs!$C$7*12*(1+Inputs!$C$8)^(L$191-1)/1000000,IF($C$179="renew",$C$190*$C$187*(1+Inputs!$C$8)^(L$191-Inputs!$C$9-1),IF($C$179="retrofit",IF(L$191-Inputs!$C$9=1,0,Inputs!$C$6*1000*Inputs!$C$46*12*(1+Inputs!$C$8)^(L$191-Inputs!$C$9-2)/1000000),IF($C$179="relet",Inputs!$C$6*1000*L197*$C$188*12*(1+Inputs!$C$8)^(L$191-Inputs!$C$9-2)/1000000,0))))</f>
        <v>60.8711509000706</v>
      </c>
      <c r="M199" s="24" t="n">
        <f aca="false">IF(M$191&lt;=Inputs!$C$9,Inputs!$C$6*1000*Inputs!$C$7*12*(1+Inputs!$C$8)^(M$191-1)/1000000,IF($C$179="renew",$C$190*$C$187*(1+Inputs!$C$8)^(M$191-Inputs!$C$9-1),IF($C$179="retrofit",IF(M$191-Inputs!$C$9=1,0,Inputs!$C$6*1000*Inputs!$C$46*12*(1+Inputs!$C$8)^(M$191-Inputs!$C$9-2)/1000000),IF($C$179="relet",Inputs!$C$6*1000*M197*$C$188*12*(1+Inputs!$C$8)^(M$191-Inputs!$C$9-2)/1000000,0))))</f>
        <v>54.7840358100636</v>
      </c>
      <c r="N199" s="24" t="n">
        <f aca="false">IF(N$191&lt;=Inputs!$C$9,Inputs!$C$6*1000*Inputs!$C$7*12*(1+Inputs!$C$8)^(N$191-1)/1000000,IF($C$179="renew",$C$190*$C$187*(1+Inputs!$C$8)^(N$191-Inputs!$C$9-1),IF($C$179="retrofit",IF(N$191-Inputs!$C$9=1,0,Inputs!$C$6*1000*Inputs!$C$46*12*(1+Inputs!$C$8)^(N$191-Inputs!$C$9-2)/1000000),IF($C$179="relet",Inputs!$C$6*1000*N197*$C$188*12*(1+Inputs!$C$8)^(N$191-Inputs!$C$9-2)/1000000,0))))</f>
        <v>55.8797165262649</v>
      </c>
      <c r="O199" s="24" t="n">
        <f aca="false">IF(O$191&lt;=Inputs!$C$9,Inputs!$C$6*1000*Inputs!$C$7*12*(1+Inputs!$C$8)^(O$191-1)/1000000,IF($C$179="renew",$C$190*$C$187*(1+Inputs!$C$8)^(O$191-Inputs!$C$9-1),IF($C$179="retrofit",IF(O$191-Inputs!$C$9=1,0,Inputs!$C$6*1000*Inputs!$C$46*12*(1+Inputs!$C$8)^(O$191-Inputs!$C$9-2)/1000000),IF($C$179="relet",Inputs!$C$6*1000*O197*$C$188*12*(1+Inputs!$C$8)^(O$191-Inputs!$C$9-2)/1000000,0))))</f>
        <v>56.9973108567902</v>
      </c>
    </row>
    <row r="200" customFormat="false" ht="15" hidden="false" customHeight="false" outlineLevel="0" collapsed="false">
      <c r="B200" s="9" t="s">
        <v>150</v>
      </c>
      <c r="E200" s="24" t="n">
        <f aca="false">IF(OR(E$191&lt;=Inputs!$C$9,$C$179="renew"),E198*(Inputs!$C$17*E193-E196*E192)/1000000,E198*E196*Inputs!$C$27/1000000)</f>
        <v>2.4219648</v>
      </c>
      <c r="F200" s="24" t="n">
        <f aca="false">IF(OR(F$191&lt;=Inputs!$C$9,$C$179="renew"),F198*(Inputs!$C$17*F193-F196*F192)/1000000,F198*F196*Inputs!$C$27/1000000)</f>
        <v>2.853433344</v>
      </c>
      <c r="G200" s="24" t="n">
        <f aca="false">IF(OR(G$191&lt;=Inputs!$C$9,$C$179="renew"),G198*(Inputs!$C$17*G193-G196*G192)/1000000,G198*G196*Inputs!$C$27/1000000)</f>
        <v>3.29353125888</v>
      </c>
      <c r="H200" s="24" t="n">
        <f aca="false">IF(OR(H$191&lt;=Inputs!$C$9,$C$179="renew"),H198*(Inputs!$C$17*H193-H196*H192)/1000000,H198*H196*Inputs!$C$27/1000000)</f>
        <v>3.74243113205761</v>
      </c>
      <c r="I200" s="24" t="n">
        <f aca="false">IF(OR(I$191&lt;=Inputs!$C$9,$C$179="renew"),I198*(Inputs!$C$17*I193-I196*I192)/1000000,I198*I196*Inputs!$C$27/1000000)</f>
        <v>-30.4056086676483</v>
      </c>
      <c r="J200" s="24" t="n">
        <f aca="false">IF(OR(J$191&lt;=Inputs!$C$9,$C$179="renew"),J198*(Inputs!$C$17*J193-J196*J192)/1000000,J198*J196*Inputs!$C$27/1000000)</f>
        <v>-31.282507741353</v>
      </c>
      <c r="K200" s="24" t="n">
        <f aca="false">IF(OR(K$191&lt;=Inputs!$C$9,$C$179="renew"),K198*(Inputs!$C$17*K193-K196*K192)/1000000,K198*K196*Inputs!$C$27/1000000)</f>
        <v>-32.1836644690406</v>
      </c>
      <c r="L200" s="24" t="n">
        <f aca="false">IF(OR(L$191&lt;=Inputs!$C$9,$C$179="renew"),L198*(Inputs!$C$17*L193-L196*L192)/1000000,L198*L196*Inputs!$C$27/1000000)</f>
        <v>-33.1097319956034</v>
      </c>
      <c r="M200" s="24" t="n">
        <f aca="false">IF(OR(M$191&lt;=Inputs!$C$9,$C$179="renew"),M198*(Inputs!$C$17*M193-M196*M192)/1000000,M198*M196*Inputs!$C$27/1000000)</f>
        <v>-34.0613807286271</v>
      </c>
      <c r="N200" s="24" t="n">
        <f aca="false">IF(OR(N$191&lt;=Inputs!$C$9,$C$179="renew"),N198*(Inputs!$C$17*N193-N196*N192)/1000000,N198*N196*Inputs!$C$27/1000000)</f>
        <v>-35.039298788639</v>
      </c>
      <c r="O200" s="24" t="n">
        <f aca="false">IF(OR(O$191&lt;=Inputs!$C$9,$C$179="renew"),O198*(Inputs!$C$17*O193-O196*O192)/1000000,O198*O196*Inputs!$C$27/1000000)</f>
        <v>-36.0441924709871</v>
      </c>
    </row>
    <row r="201" customFormat="false" ht="15" hidden="false" customHeight="false" outlineLevel="0" collapsed="false">
      <c r="B201" s="9" t="s">
        <v>151</v>
      </c>
      <c r="E201" s="24" t="n">
        <f aca="false">Inputs!$C$10*E194*IF(OR(E$191&lt;=Inputs!$C$9,$C$179="renew"),1,IF($C$179="retrofit",IF(E$191-Inputs!$C$9=1,Inputs!$C$48,1),IF($C$179="relet",Inputs!$C$54,Inputs!$C$56)))</f>
        <v>4.1</v>
      </c>
      <c r="F201" s="24" t="n">
        <f aca="false">Inputs!$C$10*F194*IF(OR(F$191&lt;=Inputs!$C$9,$C$179="renew"),1,IF($C$179="retrofit",IF(F$191-Inputs!$C$9=1,Inputs!$C$48,1),IF($C$179="relet",Inputs!$C$54,Inputs!$C$56)))</f>
        <v>4.223</v>
      </c>
      <c r="G201" s="24" t="n">
        <f aca="false">Inputs!$C$10*G194*IF(OR(G$191&lt;=Inputs!$C$9,$C$179="renew"),1,IF($C$179="retrofit",IF(G$191-Inputs!$C$9=1,Inputs!$C$48,1),IF($C$179="relet",Inputs!$C$54,Inputs!$C$56)))</f>
        <v>4.34969</v>
      </c>
      <c r="H201" s="24" t="n">
        <f aca="false">Inputs!$C$10*H194*IF(OR(H$191&lt;=Inputs!$C$9,$C$179="renew"),1,IF($C$179="retrofit",IF(H$191-Inputs!$C$9=1,Inputs!$C$48,1),IF($C$179="relet",Inputs!$C$54,Inputs!$C$56)))</f>
        <v>4.4801807</v>
      </c>
      <c r="I201" s="24" t="n">
        <f aca="false">Inputs!$C$10*I194*IF(OR(I$191&lt;=Inputs!$C$9,$C$179="renew"),1,IF($C$179="retrofit",IF(I$191-Inputs!$C$9=1,Inputs!$C$48,1),IF($C$179="relet",Inputs!$C$54,Inputs!$C$56)))</f>
        <v>4.614586121</v>
      </c>
      <c r="J201" s="24" t="n">
        <f aca="false">Inputs!$C$10*J194*IF(OR(J$191&lt;=Inputs!$C$9,$C$179="renew"),1,IF($C$179="retrofit",IF(J$191-Inputs!$C$9=1,Inputs!$C$48,1),IF($C$179="relet",Inputs!$C$54,Inputs!$C$56)))</f>
        <v>4.75302370463</v>
      </c>
      <c r="K201" s="24" t="n">
        <f aca="false">Inputs!$C$10*K194*IF(OR(K$191&lt;=Inputs!$C$9,$C$179="renew"),1,IF($C$179="retrofit",IF(K$191-Inputs!$C$9=1,Inputs!$C$48,1),IF($C$179="relet",Inputs!$C$54,Inputs!$C$56)))</f>
        <v>4.8956144157689</v>
      </c>
      <c r="L201" s="24" t="n">
        <f aca="false">Inputs!$C$10*L194*IF(OR(L$191&lt;=Inputs!$C$9,$C$179="renew"),1,IF($C$179="retrofit",IF(L$191-Inputs!$C$9=1,Inputs!$C$48,1),IF($C$179="relet",Inputs!$C$54,Inputs!$C$56)))</f>
        <v>5.04248284824197</v>
      </c>
      <c r="M201" s="24" t="n">
        <f aca="false">Inputs!$C$10*M194*IF(OR(M$191&lt;=Inputs!$C$9,$C$179="renew"),1,IF($C$179="retrofit",IF(M$191-Inputs!$C$9=1,Inputs!$C$48,1),IF($C$179="relet",Inputs!$C$54,Inputs!$C$56)))</f>
        <v>5.19375733368923</v>
      </c>
      <c r="N201" s="24" t="n">
        <f aca="false">Inputs!$C$10*N194*IF(OR(N$191&lt;=Inputs!$C$9,$C$179="renew"),1,IF($C$179="retrofit",IF(N$191-Inputs!$C$9=1,Inputs!$C$48,1),IF($C$179="relet",Inputs!$C$54,Inputs!$C$56)))</f>
        <v>5.3495700536999</v>
      </c>
      <c r="O201" s="24" t="n">
        <f aca="false">Inputs!$C$10*O194*IF(OR(O$191&lt;=Inputs!$C$9,$C$179="renew"),1,IF($C$179="retrofit",IF(O$191-Inputs!$C$9=1,Inputs!$C$48,1),IF($C$179="relet",Inputs!$C$54,Inputs!$C$56)))</f>
        <v>5.5100571553109</v>
      </c>
    </row>
    <row r="202" customFormat="false" ht="15" hidden="false" customHeight="false" outlineLevel="0" collapsed="false">
      <c r="B202" s="9" t="s">
        <v>152</v>
      </c>
      <c r="E202" s="24" t="n">
        <f aca="false">IF(E$191&gt;=$C$181,Inputs!$C$30*1000*Inputs!$C$34*12*(1+Inputs!$C$8)^(E$191-$C$181)/1000000*IF(AND(E$191=$C$181,$C$181&gt;Inputs!$C$33),1-MIN(12,Inputs!$C$35*($C$181-Inputs!$C$33)*12)/12,1),0)</f>
        <v>0</v>
      </c>
      <c r="F202" s="24" t="n">
        <f aca="false">IF(F$191&gt;=$C$181,Inputs!$C$30*1000*Inputs!$C$34*12*(1+Inputs!$C$8)^(F$191-$C$181)/1000000*IF(AND(F$191=$C$181,$C$181&gt;Inputs!$C$33),1-MIN(12,Inputs!$C$35*($C$181-Inputs!$C$33)*12)/12,1),0)</f>
        <v>0</v>
      </c>
      <c r="G202" s="24" t="n">
        <f aca="false">IF(G$191&gt;=$C$181,Inputs!$C$30*1000*Inputs!$C$34*12*(1+Inputs!$C$8)^(G$191-$C$181)/1000000*IF(AND(G$191=$C$181,$C$181&gt;Inputs!$C$33),1-MIN(12,Inputs!$C$35*($C$181-Inputs!$C$33)*12)/12,1),0)</f>
        <v>29.184</v>
      </c>
      <c r="H202" s="24" t="n">
        <f aca="false">IF(H$191&gt;=$C$181,Inputs!$C$30*1000*Inputs!$C$34*12*(1+Inputs!$C$8)^(H$191-$C$181)/1000000*IF(AND(H$191=$C$181,$C$181&gt;Inputs!$C$33),1-MIN(12,Inputs!$C$35*($C$181-Inputs!$C$33)*12)/12,1),0)</f>
        <v>29.76768</v>
      </c>
      <c r="I202" s="24" t="n">
        <f aca="false">IF(I$191&gt;=$C$181,Inputs!$C$30*1000*Inputs!$C$34*12*(1+Inputs!$C$8)^(I$191-$C$181)/1000000*IF(AND(I$191=$C$181,$C$181&gt;Inputs!$C$33),1-MIN(12,Inputs!$C$35*($C$181-Inputs!$C$33)*12)/12,1),0)</f>
        <v>30.3630336</v>
      </c>
      <c r="J202" s="24" t="n">
        <f aca="false">IF(J$191&gt;=$C$181,Inputs!$C$30*1000*Inputs!$C$34*12*(1+Inputs!$C$8)^(J$191-$C$181)/1000000*IF(AND(J$191=$C$181,$C$181&gt;Inputs!$C$33),1-MIN(12,Inputs!$C$35*($C$181-Inputs!$C$33)*12)/12,1),0)</f>
        <v>30.970294272</v>
      </c>
      <c r="K202" s="24" t="n">
        <f aca="false">IF(K$191&gt;=$C$181,Inputs!$C$30*1000*Inputs!$C$34*12*(1+Inputs!$C$8)^(K$191-$C$181)/1000000*IF(AND(K$191=$C$181,$C$181&gt;Inputs!$C$33),1-MIN(12,Inputs!$C$35*($C$181-Inputs!$C$33)*12)/12,1),0)</f>
        <v>31.58970015744</v>
      </c>
      <c r="L202" s="24" t="n">
        <f aca="false">IF(L$191&gt;=$C$181,Inputs!$C$30*1000*Inputs!$C$34*12*(1+Inputs!$C$8)^(L$191-$C$181)/1000000*IF(AND(L$191=$C$181,$C$181&gt;Inputs!$C$33),1-MIN(12,Inputs!$C$35*($C$181-Inputs!$C$33)*12)/12,1),0)</f>
        <v>32.2214941605888</v>
      </c>
      <c r="M202" s="24" t="n">
        <f aca="false">IF(M$191&gt;=$C$181,Inputs!$C$30*1000*Inputs!$C$34*12*(1+Inputs!$C$8)^(M$191-$C$181)/1000000*IF(AND(M$191=$C$181,$C$181&gt;Inputs!$C$33),1-MIN(12,Inputs!$C$35*($C$181-Inputs!$C$33)*12)/12,1),0)</f>
        <v>32.8659240438006</v>
      </c>
      <c r="N202" s="24" t="n">
        <f aca="false">IF(N$191&gt;=$C$181,Inputs!$C$30*1000*Inputs!$C$34*12*(1+Inputs!$C$8)^(N$191-$C$181)/1000000*IF(AND(N$191=$C$181,$C$181&gt;Inputs!$C$33),1-MIN(12,Inputs!$C$35*($C$181-Inputs!$C$33)*12)/12,1),0)</f>
        <v>33.5232425246766</v>
      </c>
      <c r="O202" s="24" t="n">
        <f aca="false">IF(O$191&gt;=$C$181,Inputs!$C$30*1000*Inputs!$C$34*12*(1+Inputs!$C$8)^(O$191-$C$181)/1000000*IF(AND(O$191=$C$181,$C$181&gt;Inputs!$C$33),1-MIN(12,Inputs!$C$35*($C$181-Inputs!$C$33)*12)/12,1),0)</f>
        <v>34.1937073751701</v>
      </c>
    </row>
    <row r="203" customFormat="false" ht="15" hidden="false" customHeight="false" outlineLevel="0" collapsed="false">
      <c r="B203" s="9" t="s">
        <v>153</v>
      </c>
      <c r="E203" s="28" t="n">
        <f aca="false">IF(E$191&gt;=$C$181,Inputs!$C$30*1000*Inputs!$C$16*8760/1000,0)</f>
        <v>0</v>
      </c>
      <c r="F203" s="28" t="n">
        <f aca="false">IF(F$191&gt;=$C$181,Inputs!$C$30*1000*Inputs!$C$16*8760/1000,0)</f>
        <v>0</v>
      </c>
      <c r="G203" s="28" t="n">
        <f aca="false">IF(G$191&gt;=$C$181,Inputs!$C$30*1000*Inputs!$C$16*8760/1000,0)</f>
        <v>112128</v>
      </c>
      <c r="H203" s="28" t="n">
        <f aca="false">IF(H$191&gt;=$C$181,Inputs!$C$30*1000*Inputs!$C$16*8760/1000,0)</f>
        <v>112128</v>
      </c>
      <c r="I203" s="28" t="n">
        <f aca="false">IF(I$191&gt;=$C$181,Inputs!$C$30*1000*Inputs!$C$16*8760/1000,0)</f>
        <v>112128</v>
      </c>
      <c r="J203" s="28" t="n">
        <f aca="false">IF(J$191&gt;=$C$181,Inputs!$C$30*1000*Inputs!$C$16*8760/1000,0)</f>
        <v>112128</v>
      </c>
      <c r="K203" s="28" t="n">
        <f aca="false">IF(K$191&gt;=$C$181,Inputs!$C$30*1000*Inputs!$C$16*8760/1000,0)</f>
        <v>112128</v>
      </c>
      <c r="L203" s="28" t="n">
        <f aca="false">IF(L$191&gt;=$C$181,Inputs!$C$30*1000*Inputs!$C$16*8760/1000,0)</f>
        <v>112128</v>
      </c>
      <c r="M203" s="28" t="n">
        <f aca="false">IF(M$191&gt;=$C$181,Inputs!$C$30*1000*Inputs!$C$16*8760/1000,0)</f>
        <v>112128</v>
      </c>
      <c r="N203" s="28" t="n">
        <f aca="false">IF(N$191&gt;=$C$181,Inputs!$C$30*1000*Inputs!$C$16*8760/1000,0)</f>
        <v>112128</v>
      </c>
      <c r="O203" s="28" t="n">
        <f aca="false">IF(O$191&gt;=$C$181,Inputs!$C$30*1000*Inputs!$C$16*8760/1000,0)</f>
        <v>112128</v>
      </c>
    </row>
    <row r="204" customFormat="false" ht="15" hidden="false" customHeight="false" outlineLevel="0" collapsed="false">
      <c r="B204" s="9" t="s">
        <v>154</v>
      </c>
      <c r="E204" s="24" t="n">
        <f aca="false">E203*Inputs!$C$37*Inputs!$C$27/1000000</f>
        <v>0</v>
      </c>
      <c r="F204" s="24" t="n">
        <f aca="false">F203*Inputs!$C$37*Inputs!$C$27/1000000</f>
        <v>0</v>
      </c>
      <c r="G204" s="24" t="n">
        <f aca="false">G203*Inputs!$C$37*Inputs!$C$27/1000000</f>
        <v>0.4036608</v>
      </c>
      <c r="H204" s="24" t="n">
        <f aca="false">H203*Inputs!$C$37*Inputs!$C$27/1000000</f>
        <v>0.4036608</v>
      </c>
      <c r="I204" s="24" t="n">
        <f aca="false">I203*Inputs!$C$37*Inputs!$C$27/1000000</f>
        <v>0.4036608</v>
      </c>
      <c r="J204" s="24" t="n">
        <f aca="false">J203*Inputs!$C$37*Inputs!$C$27/1000000</f>
        <v>0.4036608</v>
      </c>
      <c r="K204" s="24" t="n">
        <f aca="false">K203*Inputs!$C$37*Inputs!$C$27/1000000</f>
        <v>0.4036608</v>
      </c>
      <c r="L204" s="24" t="n">
        <f aca="false">L203*Inputs!$C$37*Inputs!$C$27/1000000</f>
        <v>0.4036608</v>
      </c>
      <c r="M204" s="24" t="n">
        <f aca="false">M203*Inputs!$C$37*Inputs!$C$27/1000000</f>
        <v>0.4036608</v>
      </c>
      <c r="N204" s="24" t="n">
        <f aca="false">N203*Inputs!$C$37*Inputs!$C$27/1000000</f>
        <v>0.4036608</v>
      </c>
      <c r="O204" s="24" t="n">
        <f aca="false">O203*Inputs!$C$37*Inputs!$C$27/1000000</f>
        <v>0.4036608</v>
      </c>
    </row>
    <row r="205" customFormat="false" ht="15" hidden="false" customHeight="false" outlineLevel="0" collapsed="false">
      <c r="B205" s="9" t="s">
        <v>155</v>
      </c>
      <c r="E205" s="24" t="n">
        <f aca="false">IF(E$191&gt;=$C$181,Inputs!$C$38*E194,0)</f>
        <v>0</v>
      </c>
      <c r="F205" s="24" t="n">
        <f aca="false">IF(F$191&gt;=$C$181,Inputs!$C$38*F194,0)</f>
        <v>0</v>
      </c>
      <c r="G205" s="24" t="n">
        <f aca="false">IF(G$191&gt;=$C$181,Inputs!$C$38*G194,0)</f>
        <v>1.69744</v>
      </c>
      <c r="H205" s="24" t="n">
        <f aca="false">IF(H$191&gt;=$C$181,Inputs!$C$38*H194,0)</f>
        <v>1.7483632</v>
      </c>
      <c r="I205" s="24" t="n">
        <f aca="false">IF(I$191&gt;=$C$181,Inputs!$C$38*I194,0)</f>
        <v>1.800814096</v>
      </c>
      <c r="J205" s="24" t="n">
        <f aca="false">IF(J$191&gt;=$C$181,Inputs!$C$38*J194,0)</f>
        <v>1.85483851888</v>
      </c>
      <c r="K205" s="24" t="n">
        <f aca="false">IF(K$191&gt;=$C$181,Inputs!$C$38*K194,0)</f>
        <v>1.9104836744464</v>
      </c>
      <c r="L205" s="24" t="n">
        <f aca="false">IF(L$191&gt;=$C$181,Inputs!$C$38*L194,0)</f>
        <v>1.96779818467979</v>
      </c>
      <c r="M205" s="24" t="n">
        <f aca="false">IF(M$191&gt;=$C$181,Inputs!$C$38*M194,0)</f>
        <v>2.02683213022019</v>
      </c>
      <c r="N205" s="24" t="n">
        <f aca="false">IF(N$191&gt;=$C$181,Inputs!$C$38*N194,0)</f>
        <v>2.08763709412679</v>
      </c>
      <c r="O205" s="24" t="n">
        <f aca="false">IF(O$191&gt;=$C$181,Inputs!$C$38*O194,0)</f>
        <v>2.1502662069506</v>
      </c>
    </row>
    <row r="206" customFormat="false" ht="15" hidden="false" customHeight="false" outlineLevel="0" collapsed="false">
      <c r="B206" s="9" t="s">
        <v>156</v>
      </c>
      <c r="E206" s="24" t="n">
        <f aca="false">Inputs!$C$12*(E199+E202)</f>
        <v>0.52992</v>
      </c>
      <c r="F206" s="24" t="n">
        <f aca="false">Inputs!$C$12*(F199+F202)</f>
        <v>0.5405184</v>
      </c>
      <c r="G206" s="24" t="n">
        <f aca="false">Inputs!$C$12*(G199+G202)</f>
        <v>0.843168768</v>
      </c>
      <c r="H206" s="24" t="n">
        <f aca="false">Inputs!$C$12*(H199+H202)</f>
        <v>0.86003214336</v>
      </c>
      <c r="I206" s="24" t="n">
        <f aca="false">Inputs!$C$12*(I199+I202)</f>
        <v>0.8772327862272</v>
      </c>
      <c r="J206" s="24" t="n">
        <f aca="false">Inputs!$C$12*(J199+J202)</f>
        <v>0.894777441951744</v>
      </c>
      <c r="K206" s="24" t="n">
        <f aca="false">Inputs!$C$12*(K199+K202)</f>
        <v>0.912672990790779</v>
      </c>
      <c r="L206" s="24" t="n">
        <f aca="false">Inputs!$C$12*(L199+L202)</f>
        <v>0.930926450606595</v>
      </c>
      <c r="M206" s="24" t="n">
        <f aca="false">Inputs!$C$12*(M199+M202)</f>
        <v>0.876499598538642</v>
      </c>
      <c r="N206" s="24" t="n">
        <f aca="false">Inputs!$C$12*(N199+N202)</f>
        <v>0.894029590509414</v>
      </c>
      <c r="O206" s="24" t="n">
        <f aca="false">Inputs!$C$12*(O199+O202)</f>
        <v>0.911910182319603</v>
      </c>
    </row>
    <row r="207" customFormat="false" ht="15" hidden="false" customHeight="false" outlineLevel="0" collapsed="false">
      <c r="B207" s="29" t="s">
        <v>157</v>
      </c>
      <c r="E207" s="30" t="n">
        <f aca="false">E199+E200+E202+E204-E201-E205-E206</f>
        <v>50.7840448</v>
      </c>
      <c r="F207" s="30" t="n">
        <f aca="false">F199+F200+F202+F204-F201-F205-F206</f>
        <v>52.141754944</v>
      </c>
      <c r="G207" s="30" t="n">
        <f aca="false">G199+G200+G202+G204-G201-G205-G206</f>
        <v>81.12377009088</v>
      </c>
      <c r="H207" s="30" t="n">
        <f aca="false">H199+H200+H202+H204-H201-H205-H206</f>
        <v>83.0607302246976</v>
      </c>
      <c r="I207" s="30" t="n">
        <f aca="false">I199+I200+I202+I204-I201-I205-I206</f>
        <v>50.4286977518445</v>
      </c>
      <c r="J207" s="30" t="n">
        <f aca="false">J199+J200+J202+J204-J201-J205-J206</f>
        <v>51.0962575883597</v>
      </c>
      <c r="K207" s="30" t="n">
        <f aca="false">K199+K200+K202+K204-K201-K205-K206</f>
        <v>51.7685243290312</v>
      </c>
      <c r="L207" s="30" t="n">
        <f aca="false">L199+L200+L202+L204-L201-L205-L206</f>
        <v>52.4453663815277</v>
      </c>
      <c r="M207" s="30" t="n">
        <f aca="false">M199+M200+M202+M204-M201-M205-M206</f>
        <v>45.895150862789</v>
      </c>
      <c r="N207" s="30" t="n">
        <f aca="false">N199+N200+N202+N204-N201-N205-N206</f>
        <v>46.4360843239663</v>
      </c>
      <c r="O207" s="30" t="n">
        <f aca="false">O199+O200+O202+O204-O201-O205-O206</f>
        <v>46.978253016392</v>
      </c>
    </row>
    <row r="208" customFormat="false" ht="15" hidden="false" customHeight="false" outlineLevel="0" collapsed="false">
      <c r="B208" s="9" t="s">
        <v>158</v>
      </c>
      <c r="E208" s="24" t="n">
        <f aca="false">Inputs!$C$13*E194*IF(AND($C$179="stranded",E$191&gt;Inputs!$C$9),Inputs!$C$56,1)+IF(E$191&gt;=$C$181,Inputs!$C$39*E194,0)</f>
        <v>1.3</v>
      </c>
      <c r="F208" s="24" t="n">
        <f aca="false">Inputs!$C$13*F194*IF(AND($C$179="stranded",F$191&gt;Inputs!$C$9),Inputs!$C$56,1)+IF(F$191&gt;=$C$181,Inputs!$C$39*F194,0)</f>
        <v>1.339</v>
      </c>
      <c r="G208" s="24" t="n">
        <f aca="false">Inputs!$C$13*G194*IF(AND($C$179="stranded",G$191&gt;Inputs!$C$9),Inputs!$C$56,1)+IF(G$191&gt;=$C$181,Inputs!$C$39*G194,0)</f>
        <v>1.90962</v>
      </c>
      <c r="H208" s="24" t="n">
        <f aca="false">Inputs!$C$13*H194*IF(AND($C$179="stranded",H$191&gt;Inputs!$C$9),Inputs!$C$56,1)+IF(H$191&gt;=$C$181,Inputs!$C$39*H194,0)</f>
        <v>1.9669086</v>
      </c>
      <c r="I208" s="24" t="n">
        <f aca="false">Inputs!$C$13*I194*IF(AND($C$179="stranded",I$191&gt;Inputs!$C$9),Inputs!$C$56,1)+IF(I$191&gt;=$C$181,Inputs!$C$39*I194,0)</f>
        <v>2.025915858</v>
      </c>
      <c r="J208" s="24" t="n">
        <f aca="false">Inputs!$C$13*J194*IF(AND($C$179="stranded",J$191&gt;Inputs!$C$9),Inputs!$C$56,1)+IF(J$191&gt;=$C$181,Inputs!$C$39*J194,0)</f>
        <v>2.08669333374</v>
      </c>
      <c r="K208" s="24" t="n">
        <f aca="false">Inputs!$C$13*K194*IF(AND($C$179="stranded",K$191&gt;Inputs!$C$9),Inputs!$C$56,1)+IF(K$191&gt;=$C$181,Inputs!$C$39*K194,0)</f>
        <v>2.1492941337522</v>
      </c>
      <c r="L208" s="24" t="n">
        <f aca="false">Inputs!$C$13*L194*IF(AND($C$179="stranded",L$191&gt;Inputs!$C$9),Inputs!$C$56,1)+IF(L$191&gt;=$C$181,Inputs!$C$39*L194,0)</f>
        <v>2.21377295776477</v>
      </c>
      <c r="M208" s="24" t="n">
        <f aca="false">Inputs!$C$13*M194*IF(AND($C$179="stranded",M$191&gt;Inputs!$C$9),Inputs!$C$56,1)+IF(M$191&gt;=$C$181,Inputs!$C$39*M194,0)</f>
        <v>2.28018614649771</v>
      </c>
      <c r="N208" s="24" t="n">
        <f aca="false">Inputs!$C$13*N194*IF(AND($C$179="stranded",N$191&gt;Inputs!$C$9),Inputs!$C$56,1)+IF(N$191&gt;=$C$181,Inputs!$C$39*N194,0)</f>
        <v>2.34859173089264</v>
      </c>
      <c r="O208" s="24" t="n">
        <f aca="false">Inputs!$C$13*O194*IF(AND($C$179="stranded",O$191&gt;Inputs!$C$9),Inputs!$C$56,1)+IF(O$191&gt;=$C$181,Inputs!$C$39*O194,0)</f>
        <v>2.41904948281942</v>
      </c>
    </row>
    <row r="209" customFormat="false" ht="15" hidden="false" customHeight="false" outlineLevel="0" collapsed="false">
      <c r="B209" s="9" t="s">
        <v>159</v>
      </c>
      <c r="E209" s="24" t="n">
        <f aca="false">IF(OR(E$191=1,E$191=2),Inputs!$C$31*Inputs!$C$30/2,0)+IF(AND(E$191=2,$C$181&gt;Inputs!$C$33),Inputs!$C$31*Inputs!$C$30*Inputs!$C$36*($C$181-Inputs!$C$33),0)</f>
        <v>84</v>
      </c>
      <c r="F209" s="24" t="n">
        <f aca="false">IF(OR(F$191=1,F$191=2),Inputs!$C$31*Inputs!$C$30/2,0)+IF(AND(F$191=2,$C$181&gt;Inputs!$C$33),Inputs!$C$31*Inputs!$C$30*Inputs!$C$36*($C$181-Inputs!$C$33),0)</f>
        <v>84</v>
      </c>
      <c r="G209" s="24" t="n">
        <f aca="false">IF(OR(G$191=1,G$191=2),Inputs!$C$31*Inputs!$C$30/2,0)+IF(AND(G$191=2,$C$181&gt;Inputs!$C$33),Inputs!$C$31*Inputs!$C$30*Inputs!$C$36*($C$181-Inputs!$C$33),0)</f>
        <v>0</v>
      </c>
      <c r="H209" s="24" t="n">
        <f aca="false">IF(OR(H$191=1,H$191=2),Inputs!$C$31*Inputs!$C$30/2,0)+IF(AND(H$191=2,$C$181&gt;Inputs!$C$33),Inputs!$C$31*Inputs!$C$30*Inputs!$C$36*($C$181-Inputs!$C$33),0)</f>
        <v>0</v>
      </c>
      <c r="I209" s="24" t="n">
        <f aca="false">IF(OR(I$191=1,I$191=2),Inputs!$C$31*Inputs!$C$30/2,0)+IF(AND(I$191=2,$C$181&gt;Inputs!$C$33),Inputs!$C$31*Inputs!$C$30*Inputs!$C$36*($C$181-Inputs!$C$33),0)</f>
        <v>0</v>
      </c>
      <c r="J209" s="24" t="n">
        <f aca="false">IF(OR(J$191=1,J$191=2),Inputs!$C$31*Inputs!$C$30/2,0)+IF(AND(J$191=2,$C$181&gt;Inputs!$C$33),Inputs!$C$31*Inputs!$C$30*Inputs!$C$36*($C$181-Inputs!$C$33),0)</f>
        <v>0</v>
      </c>
      <c r="K209" s="24" t="n">
        <f aca="false">IF(OR(K$191=1,K$191=2),Inputs!$C$31*Inputs!$C$30/2,0)+IF(AND(K$191=2,$C$181&gt;Inputs!$C$33),Inputs!$C$31*Inputs!$C$30*Inputs!$C$36*($C$181-Inputs!$C$33),0)</f>
        <v>0</v>
      </c>
      <c r="L209" s="24" t="n">
        <f aca="false">IF(OR(L$191=1,L$191=2),Inputs!$C$31*Inputs!$C$30/2,0)+IF(AND(L$191=2,$C$181&gt;Inputs!$C$33),Inputs!$C$31*Inputs!$C$30*Inputs!$C$36*($C$181-Inputs!$C$33),0)</f>
        <v>0</v>
      </c>
      <c r="M209" s="24" t="n">
        <f aca="false">IF(OR(M$191=1,M$191=2),Inputs!$C$31*Inputs!$C$30/2,0)+IF(AND(M$191=2,$C$181&gt;Inputs!$C$33),Inputs!$C$31*Inputs!$C$30*Inputs!$C$36*($C$181-Inputs!$C$33),0)</f>
        <v>0</v>
      </c>
      <c r="N209" s="24" t="n">
        <f aca="false">IF(OR(N$191=1,N$191=2),Inputs!$C$31*Inputs!$C$30/2,0)+IF(AND(N$191=2,$C$181&gt;Inputs!$C$33),Inputs!$C$31*Inputs!$C$30*Inputs!$C$36*($C$181-Inputs!$C$33),0)</f>
        <v>0</v>
      </c>
      <c r="O209" s="24" t="n">
        <f aca="false">IF(OR(O$191=1,O$191=2),Inputs!$C$31*Inputs!$C$30/2,0)+IF(AND(O$191=2,$C$181&gt;Inputs!$C$33),Inputs!$C$31*Inputs!$C$30*Inputs!$C$36*($C$181-Inputs!$C$33),0)</f>
        <v>0</v>
      </c>
    </row>
    <row r="210" customFormat="false" ht="15" hidden="false" customHeight="false" outlineLevel="0" collapsed="false">
      <c r="B210" s="9" t="s">
        <v>160</v>
      </c>
      <c r="E210" s="24" t="n">
        <f aca="false">IF(E$191=Inputs!$C$9+1,Inputs!$C$6*IF($C$179="renew",Inputs!$C$44,IF($C$179="retrofit",Inputs!$C$45,IF($C$179="relet",Inputs!$C$55,0))),0)</f>
        <v>0</v>
      </c>
      <c r="F210" s="24" t="n">
        <f aca="false">IF(F$191=Inputs!$C$9+1,Inputs!$C$6*IF($C$179="renew",Inputs!$C$44,IF($C$179="retrofit",Inputs!$C$45,IF($C$179="relet",Inputs!$C$55,0))),0)</f>
        <v>0</v>
      </c>
      <c r="G210" s="24" t="n">
        <f aca="false">IF(G$191=Inputs!$C$9+1,Inputs!$C$6*IF($C$179="renew",Inputs!$C$44,IF($C$179="retrofit",Inputs!$C$45,IF($C$179="relet",Inputs!$C$55,0))),0)</f>
        <v>0</v>
      </c>
      <c r="H210" s="24" t="n">
        <f aca="false">IF(H$191=Inputs!$C$9+1,Inputs!$C$6*IF($C$179="renew",Inputs!$C$44,IF($C$179="retrofit",Inputs!$C$45,IF($C$179="relet",Inputs!$C$55,0))),0)</f>
        <v>0</v>
      </c>
      <c r="I210" s="24" t="n">
        <f aca="false">IF(I$191=Inputs!$C$9+1,Inputs!$C$6*IF($C$179="renew",Inputs!$C$44,IF($C$179="retrofit",Inputs!$C$45,IF($C$179="relet",Inputs!$C$55,0))),0)</f>
        <v>0</v>
      </c>
      <c r="J210" s="24" t="n">
        <f aca="false">IF(J$191=Inputs!$C$9+1,Inputs!$C$6*IF($C$179="renew",Inputs!$C$44,IF($C$179="retrofit",Inputs!$C$45,IF($C$179="relet",Inputs!$C$55,0))),0)</f>
        <v>0</v>
      </c>
      <c r="K210" s="24" t="n">
        <f aca="false">IF(K$191=Inputs!$C$9+1,Inputs!$C$6*IF($C$179="renew",Inputs!$C$44,IF($C$179="retrofit",Inputs!$C$45,IF($C$179="relet",Inputs!$C$55,0))),0)</f>
        <v>0</v>
      </c>
      <c r="L210" s="24" t="n">
        <f aca="false">IF(L$191=Inputs!$C$9+1,Inputs!$C$6*IF($C$179="renew",Inputs!$C$44,IF($C$179="retrofit",Inputs!$C$45,IF($C$179="relet",Inputs!$C$55,0))),0)</f>
        <v>0</v>
      </c>
      <c r="M210" s="24" t="n">
        <f aca="false">IF(M$191=Inputs!$C$9+1,Inputs!$C$6*IF($C$179="renew",Inputs!$C$44,IF($C$179="retrofit",Inputs!$C$45,IF($C$179="relet",Inputs!$C$55,0))),0)</f>
        <v>12.8</v>
      </c>
      <c r="N210" s="24" t="n">
        <f aca="false">IF(N$191=Inputs!$C$9+1,Inputs!$C$6*IF($C$179="renew",Inputs!$C$44,IF($C$179="retrofit",Inputs!$C$45,IF($C$179="relet",Inputs!$C$55,0))),0)</f>
        <v>0</v>
      </c>
      <c r="O210" s="24" t="n">
        <f aca="false">IF(O$191=Inputs!$C$9+1,Inputs!$C$6*IF($C$179="renew",Inputs!$C$44,IF($C$179="retrofit",Inputs!$C$45,IF($C$179="relet",Inputs!$C$55,0))),0)</f>
        <v>0</v>
      </c>
    </row>
    <row r="211" customFormat="false" ht="15" hidden="false" customHeight="false" outlineLevel="0" collapsed="false">
      <c r="B211" s="29" t="s">
        <v>161</v>
      </c>
      <c r="E211" s="30" t="n">
        <f aca="false">E207-E208-E209-E210</f>
        <v>-34.5159552</v>
      </c>
      <c r="F211" s="30" t="n">
        <f aca="false">F207-F208-F209-F210</f>
        <v>-33.197245056</v>
      </c>
      <c r="G211" s="30" t="n">
        <f aca="false">G207-G208-G209-G210</f>
        <v>79.21415009088</v>
      </c>
      <c r="H211" s="30" t="n">
        <f aca="false">H207-H208-H209-H210</f>
        <v>81.0938216246976</v>
      </c>
      <c r="I211" s="30" t="n">
        <f aca="false">I207-I208-I209-I210</f>
        <v>48.4027818938445</v>
      </c>
      <c r="J211" s="30" t="n">
        <f aca="false">J207-J208-J209-J210</f>
        <v>49.0095642546197</v>
      </c>
      <c r="K211" s="30" t="n">
        <f aca="false">K207-K208-K209-K210</f>
        <v>49.619230195279</v>
      </c>
      <c r="L211" s="30" t="n">
        <f aca="false">L207-L208-L209-L210</f>
        <v>50.2315934237629</v>
      </c>
      <c r="M211" s="30" t="n">
        <f aca="false">M207-M208-M209-M210</f>
        <v>30.8149647162913</v>
      </c>
      <c r="N211" s="30" t="n">
        <f aca="false">N207-N208-N209-N210</f>
        <v>44.0874925930737</v>
      </c>
      <c r="O211" s="30" t="n">
        <f aca="false">O207-O208-O209-O210</f>
        <v>44.5592035335726</v>
      </c>
    </row>
    <row r="212" customFormat="false" ht="15" hidden="false" customHeight="false" outlineLevel="0" collapsed="false">
      <c r="B212" s="6" t="s">
        <v>162</v>
      </c>
    </row>
    <row r="214" customFormat="false" ht="15" hidden="false" customHeight="false" outlineLevel="0" collapsed="false">
      <c r="B214" s="9" t="s">
        <v>163</v>
      </c>
      <c r="C214" s="23" t="n">
        <f aca="false">IF($C$179="renew",Inputs!$C$67,IF($C$179="retrofit",Inputs!$C$68,IF($C$179="relet",Inputs!$C$69,Inputs!$C$70)))+$C$185</f>
        <v>0.0625</v>
      </c>
    </row>
    <row r="215" customFormat="false" ht="15" hidden="false" customHeight="false" outlineLevel="0" collapsed="false">
      <c r="B215" s="9" t="s">
        <v>164</v>
      </c>
      <c r="C215" s="24" t="n">
        <f aca="false">O202+O204-O205-Inputs!$C$12*O202</f>
        <v>32.1051648944678</v>
      </c>
    </row>
    <row r="216" customFormat="false" ht="15" hidden="false" customHeight="false" outlineLevel="0" collapsed="false">
      <c r="B216" s="9" t="s">
        <v>165</v>
      </c>
      <c r="C216" s="24" t="n">
        <f aca="false">O207-$C$215</f>
        <v>14.8730881219242</v>
      </c>
    </row>
    <row r="217" customFormat="false" ht="15" hidden="false" customHeight="false" outlineLevel="0" collapsed="false">
      <c r="B217" s="9" t="s">
        <v>166</v>
      </c>
      <c r="C217" s="24" t="n">
        <f aca="false">IF($C$179="stranded",Inputs!$C$57*Inputs!$C$6-Inputs!$C$58,0)</f>
        <v>0</v>
      </c>
    </row>
    <row r="218" customFormat="false" ht="15" hidden="false" customHeight="false" outlineLevel="0" collapsed="false">
      <c r="B218" s="9" t="s">
        <v>167</v>
      </c>
      <c r="C218" s="24" t="n">
        <f aca="false">($C$215+$C$216)/$C$214+$C$217</f>
        <v>751.652048262273</v>
      </c>
    </row>
    <row r="219" customFormat="false" ht="15" hidden="false" customHeight="false" outlineLevel="0" collapsed="false">
      <c r="B219" s="29" t="s">
        <v>168</v>
      </c>
      <c r="C219" s="30" t="n">
        <f aca="false">$C$218*(1-Inputs!$C$66)</f>
        <v>740.377267538339</v>
      </c>
    </row>
    <row r="220" customFormat="false" ht="15" hidden="false" customHeight="false" outlineLevel="0" collapsed="false">
      <c r="B220" s="9" t="s">
        <v>169</v>
      </c>
      <c r="C220" s="24" t="n">
        <f aca="false">$C$189*(1+Inputs!$C$65)</f>
        <v>918</v>
      </c>
    </row>
    <row r="222" customFormat="false" ht="15" hidden="false" customHeight="false" outlineLevel="0" collapsed="false">
      <c r="B222" s="25" t="s">
        <v>170</v>
      </c>
      <c r="C222" s="26"/>
      <c r="D222" s="26" t="n">
        <v>0</v>
      </c>
      <c r="E222" s="26" t="n">
        <v>1</v>
      </c>
      <c r="F222" s="26" t="n">
        <v>2</v>
      </c>
      <c r="G222" s="26" t="n">
        <v>3</v>
      </c>
      <c r="H222" s="26" t="n">
        <v>4</v>
      </c>
      <c r="I222" s="26" t="n">
        <v>5</v>
      </c>
      <c r="J222" s="26" t="n">
        <v>6</v>
      </c>
      <c r="K222" s="26" t="n">
        <v>7</v>
      </c>
      <c r="L222" s="26" t="n">
        <v>8</v>
      </c>
      <c r="M222" s="26" t="n">
        <v>9</v>
      </c>
      <c r="N222" s="26" t="n">
        <v>10</v>
      </c>
    </row>
    <row r="223" customFormat="false" ht="15" hidden="false" customHeight="false" outlineLevel="0" collapsed="false">
      <c r="B223" s="29" t="s">
        <v>171</v>
      </c>
      <c r="D223" s="30" t="n">
        <f aca="false">-$C$220</f>
        <v>-918</v>
      </c>
      <c r="E223" s="30" t="n">
        <f aca="false">E211</f>
        <v>-34.5159552</v>
      </c>
      <c r="F223" s="30" t="n">
        <f aca="false">F211</f>
        <v>-33.197245056</v>
      </c>
      <c r="G223" s="30" t="n">
        <f aca="false">G211</f>
        <v>79.21415009088</v>
      </c>
      <c r="H223" s="30" t="n">
        <f aca="false">H211</f>
        <v>81.0938216246976</v>
      </c>
      <c r="I223" s="30" t="n">
        <f aca="false">I211</f>
        <v>48.4027818938445</v>
      </c>
      <c r="J223" s="30" t="n">
        <f aca="false">J211</f>
        <v>49.0095642546197</v>
      </c>
      <c r="K223" s="30" t="n">
        <f aca="false">K211</f>
        <v>49.619230195279</v>
      </c>
      <c r="L223" s="30" t="n">
        <f aca="false">L211</f>
        <v>50.2315934237629</v>
      </c>
      <c r="M223" s="30" t="n">
        <f aca="false">M211</f>
        <v>30.8149647162913</v>
      </c>
      <c r="N223" s="30" t="n">
        <f aca="false">N211+$C$219</f>
        <v>784.464760131412</v>
      </c>
    </row>
    <row r="224" customFormat="false" ht="15" hidden="false" customHeight="false" outlineLevel="0" collapsed="false">
      <c r="B224" s="29" t="s">
        <v>172</v>
      </c>
      <c r="C224" s="31" t="n">
        <f aca="false">IRR(D223:N223,0.08)</f>
        <v>0.0210683384053268</v>
      </c>
    </row>
    <row r="226" customFormat="false" ht="15" hidden="false" customHeight="false" outlineLevel="0" collapsed="false">
      <c r="B226" s="9" t="s">
        <v>180</v>
      </c>
      <c r="C226" s="24" t="n">
        <f aca="false">Inputs!$C$77*$C$189</f>
        <v>495</v>
      </c>
    </row>
    <row r="227" customFormat="false" ht="15" hidden="false" customHeight="false" outlineLevel="0" collapsed="false">
      <c r="B227" s="9" t="s">
        <v>181</v>
      </c>
      <c r="C227" s="24" t="n">
        <f aca="false">$C$226*Inputs!$C$78/(1-(1+Inputs!$C$78)^(-Inputs!$C$80))</f>
        <v>38.7222255150756</v>
      </c>
    </row>
    <row r="228" customFormat="false" ht="15" hidden="false" customHeight="false" outlineLevel="0" collapsed="false">
      <c r="B228" s="9" t="s">
        <v>182</v>
      </c>
      <c r="C228" s="24" t="n">
        <f aca="false">$C$226*(1+Inputs!$C$78)^(Inputs!$C$81-Inputs!$C$79)-$C$227*((1+Inputs!$C$78)^(Inputs!$C$81-Inputs!$C$79)-1)/Inputs!$C$78</f>
        <v>444.140876065435</v>
      </c>
    </row>
    <row r="229" customFormat="false" ht="15" hidden="false" customHeight="false" outlineLevel="0" collapsed="false">
      <c r="B229" s="9" t="s">
        <v>183</v>
      </c>
      <c r="C229" s="20" t="n">
        <f aca="false">IF($C$179="renew",1,0)</f>
        <v>1</v>
      </c>
    </row>
    <row r="230" customFormat="false" ht="15" hidden="false" customHeight="false" outlineLevel="0" collapsed="false">
      <c r="B230" s="9" t="s">
        <v>184</v>
      </c>
      <c r="C230" s="20" t="n">
        <f aca="false">IF($C$229=1,Inputs!$C$86,Inputs!$C$87)</f>
        <v>20</v>
      </c>
    </row>
    <row r="231" customFormat="false" ht="15" hidden="false" customHeight="false" outlineLevel="0" collapsed="false">
      <c r="B231" s="9" t="s">
        <v>185</v>
      </c>
      <c r="C231" s="24" t="n">
        <f aca="false">IF($C$229=1,INDEX($E$207:$O$207,(Inputs!$C$81+1))-INDEX($E$208:$O$208,(Inputs!$C$81+1)),INDEX($E$202:$O$202,(Inputs!$C$81+1))+INDEX($E$204:$O$204,(Inputs!$C$81+1))-INDEX($E$205:$O$205,(Inputs!$C$81+1))-Inputs!$C$12*INDEX($E$202:$O$202,(Inputs!$C$81+1))-Inputs!$C$39*(1+Inputs!$C$11)^((Inputs!$C$81+1)-1))</f>
        <v>50.2315934237629</v>
      </c>
    </row>
    <row r="232" customFormat="false" ht="15" hidden="false" customHeight="false" outlineLevel="0" collapsed="false">
      <c r="B232" s="9" t="s">
        <v>186</v>
      </c>
      <c r="C232" s="24" t="n">
        <f aca="false">$C$231/Inputs!$C$84</f>
        <v>35.8797095884021</v>
      </c>
    </row>
    <row r="233" customFormat="false" ht="15" hidden="false" customHeight="false" outlineLevel="0" collapsed="false">
      <c r="B233" s="9" t="s">
        <v>187</v>
      </c>
      <c r="C233" s="24" t="n">
        <f aca="false">$C$232*(1-(1+Inputs!$C$83)^(-$C$230))/Inputs!$C$83</f>
        <v>395.34084013308</v>
      </c>
    </row>
    <row r="234" customFormat="false" ht="15" hidden="false" customHeight="false" outlineLevel="0" collapsed="false">
      <c r="B234" s="9" t="s">
        <v>188</v>
      </c>
      <c r="C234" s="24" t="n">
        <f aca="false">$C$231/$C$214</f>
        <v>803.705494780206</v>
      </c>
    </row>
    <row r="235" customFormat="false" ht="15" hidden="false" customHeight="false" outlineLevel="0" collapsed="false">
      <c r="B235" s="9" t="s">
        <v>189</v>
      </c>
      <c r="C235" s="24" t="n">
        <f aca="false">Inputs!$C$85*$C$234</f>
        <v>442.038022129114</v>
      </c>
    </row>
    <row r="236" customFormat="false" ht="15" hidden="false" customHeight="false" outlineLevel="0" collapsed="false">
      <c r="B236" s="29" t="s">
        <v>190</v>
      </c>
      <c r="C236" s="30" t="n">
        <f aca="false">MIN($C$233,$C$235)</f>
        <v>395.34084013308</v>
      </c>
    </row>
    <row r="237" customFormat="false" ht="15" hidden="false" customHeight="false" outlineLevel="0" collapsed="false">
      <c r="B237" s="29" t="s">
        <v>191</v>
      </c>
      <c r="C237" s="30" t="n">
        <f aca="false">$C$236*(1-Inputs!$C$82)-$C$228</f>
        <v>-52.7534443336859</v>
      </c>
    </row>
    <row r="238" customFormat="false" ht="15" hidden="false" customHeight="false" outlineLevel="0" collapsed="false">
      <c r="B238" s="9" t="s">
        <v>192</v>
      </c>
      <c r="C238" s="24" t="n">
        <f aca="false">$C$236*Inputs!$C$83/(1-(1+Inputs!$C$83)^(-$C$230))</f>
        <v>35.8797095884021</v>
      </c>
    </row>
    <row r="240" customFormat="false" ht="15" hidden="false" customHeight="false" outlineLevel="0" collapsed="false">
      <c r="B240" s="25" t="s">
        <v>193</v>
      </c>
      <c r="C240" s="26"/>
      <c r="D240" s="26" t="n">
        <v>0</v>
      </c>
      <c r="E240" s="26" t="n">
        <v>1</v>
      </c>
      <c r="F240" s="26" t="n">
        <v>2</v>
      </c>
      <c r="G240" s="26" t="n">
        <v>3</v>
      </c>
      <c r="H240" s="26" t="n">
        <v>4</v>
      </c>
      <c r="I240" s="26" t="n">
        <v>5</v>
      </c>
      <c r="J240" s="26" t="n">
        <v>6</v>
      </c>
      <c r="K240" s="26" t="n">
        <v>7</v>
      </c>
      <c r="L240" s="26" t="n">
        <v>8</v>
      </c>
      <c r="M240" s="26" t="n">
        <v>9</v>
      </c>
      <c r="N240" s="26" t="n">
        <v>10</v>
      </c>
    </row>
    <row r="241" customFormat="false" ht="15" hidden="false" customHeight="false" outlineLevel="0" collapsed="false">
      <c r="B241" s="9" t="s">
        <v>194</v>
      </c>
      <c r="E241" s="24" t="n">
        <f aca="false">$C$226</f>
        <v>495</v>
      </c>
      <c r="F241" s="24" t="n">
        <f aca="false">IF(F$240=Inputs!$C$81+1,$C$236,E245)</f>
        <v>495</v>
      </c>
      <c r="G241" s="24" t="n">
        <f aca="false">IF(G$240=Inputs!$C$81+1,$C$236,F245)</f>
        <v>495</v>
      </c>
      <c r="H241" s="24" t="n">
        <f aca="false">IF(H$240=Inputs!$C$81+1,$C$236,G245)</f>
        <v>485.977774484924</v>
      </c>
      <c r="I241" s="24" t="n">
        <f aca="false">IF(I$240=Inputs!$C$81+1,$C$236,H245)</f>
        <v>476.414215438944</v>
      </c>
      <c r="J241" s="24" t="n">
        <f aca="false">IF(J$240=Inputs!$C$81+1,$C$236,I245)</f>
        <v>466.276842850205</v>
      </c>
      <c r="K241" s="24" t="n">
        <f aca="false">IF(K$240=Inputs!$C$81+1,$C$236,J245)</f>
        <v>455.531227906142</v>
      </c>
      <c r="L241" s="24" t="n">
        <f aca="false">IF(L$240=Inputs!$C$81+1,$C$236,K245)</f>
        <v>395.34084013308</v>
      </c>
      <c r="M241" s="24" t="n">
        <f aca="false">IF(M$240=Inputs!$C$81+1,$C$236,L245)</f>
        <v>385.158285153328</v>
      </c>
      <c r="N241" s="24" t="n">
        <f aca="false">IF(N$240=Inputs!$C$81+1,$C$236,M245)</f>
        <v>374.313864099892</v>
      </c>
    </row>
    <row r="242" customFormat="false" ht="15" hidden="false" customHeight="false" outlineLevel="0" collapsed="false">
      <c r="B242" s="9" t="s">
        <v>195</v>
      </c>
      <c r="E242" s="23" t="n">
        <f aca="false">IF(E$240&lt;=Inputs!$C$81,Inputs!$C$78,Inputs!$C$83)</f>
        <v>0.06</v>
      </c>
      <c r="F242" s="23" t="n">
        <f aca="false">IF(F$240&lt;=Inputs!$C$81,Inputs!$C$78,Inputs!$C$83)</f>
        <v>0.06</v>
      </c>
      <c r="G242" s="23" t="n">
        <f aca="false">IF(G$240&lt;=Inputs!$C$81,Inputs!$C$78,Inputs!$C$83)</f>
        <v>0.06</v>
      </c>
      <c r="H242" s="23" t="n">
        <f aca="false">IF(H$240&lt;=Inputs!$C$81,Inputs!$C$78,Inputs!$C$83)</f>
        <v>0.06</v>
      </c>
      <c r="I242" s="23" t="n">
        <f aca="false">IF(I$240&lt;=Inputs!$C$81,Inputs!$C$78,Inputs!$C$83)</f>
        <v>0.06</v>
      </c>
      <c r="J242" s="23" t="n">
        <f aca="false">IF(J$240&lt;=Inputs!$C$81,Inputs!$C$78,Inputs!$C$83)</f>
        <v>0.06</v>
      </c>
      <c r="K242" s="23" t="n">
        <f aca="false">IF(K$240&lt;=Inputs!$C$81,Inputs!$C$78,Inputs!$C$83)</f>
        <v>0.06</v>
      </c>
      <c r="L242" s="23" t="n">
        <f aca="false">IF(L$240&lt;=Inputs!$C$81,Inputs!$C$78,Inputs!$C$83)</f>
        <v>0.065</v>
      </c>
      <c r="M242" s="23" t="n">
        <f aca="false">IF(M$240&lt;=Inputs!$C$81,Inputs!$C$78,Inputs!$C$83)</f>
        <v>0.065</v>
      </c>
      <c r="N242" s="23" t="n">
        <f aca="false">IF(N$240&lt;=Inputs!$C$81,Inputs!$C$78,Inputs!$C$83)</f>
        <v>0.065</v>
      </c>
    </row>
    <row r="243" customFormat="false" ht="15" hidden="false" customHeight="false" outlineLevel="0" collapsed="false">
      <c r="B243" s="9" t="s">
        <v>196</v>
      </c>
      <c r="E243" s="24" t="n">
        <f aca="false">E241*E242</f>
        <v>29.7</v>
      </c>
      <c r="F243" s="24" t="n">
        <f aca="false">F241*F242</f>
        <v>29.7</v>
      </c>
      <c r="G243" s="24" t="n">
        <f aca="false">G241*G242</f>
        <v>29.7</v>
      </c>
      <c r="H243" s="24" t="n">
        <f aca="false">H241*H242</f>
        <v>29.1586664690955</v>
      </c>
      <c r="I243" s="24" t="n">
        <f aca="false">I241*I242</f>
        <v>28.5848529263367</v>
      </c>
      <c r="J243" s="24" t="n">
        <f aca="false">J241*J242</f>
        <v>27.9766105710123</v>
      </c>
      <c r="K243" s="24" t="n">
        <f aca="false">K241*K242</f>
        <v>27.3318736743685</v>
      </c>
      <c r="L243" s="24" t="n">
        <f aca="false">L241*L242</f>
        <v>25.6971546086502</v>
      </c>
      <c r="M243" s="24" t="n">
        <f aca="false">M241*M242</f>
        <v>25.0352885349663</v>
      </c>
      <c r="N243" s="24" t="n">
        <f aca="false">N241*N242</f>
        <v>24.330401166493</v>
      </c>
    </row>
    <row r="244" customFormat="false" ht="15" hidden="false" customHeight="false" outlineLevel="0" collapsed="false">
      <c r="B244" s="9" t="s">
        <v>197</v>
      </c>
      <c r="E244" s="24" t="n">
        <f aca="false">IF(E$240&lt;=Inputs!$C$81,IF(E$240&lt;=Inputs!$C$79,0,$C$227-E243),$C$238-E243)</f>
        <v>0</v>
      </c>
      <c r="F244" s="24" t="n">
        <f aca="false">IF(F$240&lt;=Inputs!$C$81,IF(F$240&lt;=Inputs!$C$79,0,$C$227-F243),$C$238-F243)</f>
        <v>0</v>
      </c>
      <c r="G244" s="24" t="n">
        <f aca="false">IF(G$240&lt;=Inputs!$C$81,IF(G$240&lt;=Inputs!$C$79,0,$C$227-G243),$C$238-G243)</f>
        <v>9.0222255150756</v>
      </c>
      <c r="H244" s="24" t="n">
        <f aca="false">IF(H$240&lt;=Inputs!$C$81,IF(H$240&lt;=Inputs!$C$79,0,$C$227-H243),$C$238-H243)</f>
        <v>9.56355904598014</v>
      </c>
      <c r="I244" s="24" t="n">
        <f aca="false">IF(I$240&lt;=Inputs!$C$81,IF(I$240&lt;=Inputs!$C$79,0,$C$227-I243),$C$238-I243)</f>
        <v>10.1373725887389</v>
      </c>
      <c r="J244" s="24" t="n">
        <f aca="false">IF(J$240&lt;=Inputs!$C$81,IF(J$240&lt;=Inputs!$C$79,0,$C$227-J243),$C$238-J243)</f>
        <v>10.7456149440633</v>
      </c>
      <c r="K244" s="24" t="n">
        <f aca="false">IF(K$240&lt;=Inputs!$C$81,IF(K$240&lt;=Inputs!$C$79,0,$C$227-K243),$C$238-K243)</f>
        <v>11.3903518407071</v>
      </c>
      <c r="L244" s="24" t="n">
        <f aca="false">IF(L$240&lt;=Inputs!$C$81,IF(L$240&lt;=Inputs!$C$79,0,$C$227-L243),$C$238-L243)</f>
        <v>10.1825549797519</v>
      </c>
      <c r="M244" s="24" t="n">
        <f aca="false">IF(M$240&lt;=Inputs!$C$81,IF(M$240&lt;=Inputs!$C$79,0,$C$227-M243),$C$238-M243)</f>
        <v>10.8444210534358</v>
      </c>
      <c r="N244" s="24" t="n">
        <f aca="false">IF(N$240&lt;=Inputs!$C$81,IF(N$240&lt;=Inputs!$C$79,0,$C$227-N243),$C$238-N243)</f>
        <v>11.5493084219091</v>
      </c>
    </row>
    <row r="245" customFormat="false" ht="15" hidden="false" customHeight="false" outlineLevel="0" collapsed="false">
      <c r="B245" s="29" t="s">
        <v>198</v>
      </c>
      <c r="E245" s="30" t="n">
        <f aca="false">E241-E244</f>
        <v>495</v>
      </c>
      <c r="F245" s="30" t="n">
        <f aca="false">F241-F244</f>
        <v>495</v>
      </c>
      <c r="G245" s="30" t="n">
        <f aca="false">G241-G244</f>
        <v>485.977774484924</v>
      </c>
      <c r="H245" s="30" t="n">
        <f aca="false">H241-H244</f>
        <v>476.414215438944</v>
      </c>
      <c r="I245" s="30" t="n">
        <f aca="false">I241-I244</f>
        <v>466.276842850205</v>
      </c>
      <c r="J245" s="30" t="n">
        <f aca="false">J241-J244</f>
        <v>455.531227906142</v>
      </c>
      <c r="K245" s="30" t="n">
        <f aca="false">K241-K244</f>
        <v>444.140876065435</v>
      </c>
      <c r="L245" s="30" t="n">
        <f aca="false">L241-L244</f>
        <v>385.158285153328</v>
      </c>
      <c r="M245" s="30" t="n">
        <f aca="false">M241-M244</f>
        <v>374.313864099892</v>
      </c>
      <c r="N245" s="30" t="n">
        <f aca="false">N241-N244</f>
        <v>362.764555677983</v>
      </c>
    </row>
    <row r="246" customFormat="false" ht="15" hidden="false" customHeight="false" outlineLevel="0" collapsed="false">
      <c r="B246" s="9" t="s">
        <v>199</v>
      </c>
      <c r="E246" s="24" t="n">
        <f aca="false">E243+E244</f>
        <v>29.7</v>
      </c>
      <c r="F246" s="24" t="n">
        <f aca="false">F243+F244</f>
        <v>29.7</v>
      </c>
      <c r="G246" s="24" t="n">
        <f aca="false">G243+G244</f>
        <v>38.7222255150756</v>
      </c>
      <c r="H246" s="24" t="n">
        <f aca="false">H243+H244</f>
        <v>38.7222255150756</v>
      </c>
      <c r="I246" s="24" t="n">
        <f aca="false">I243+I244</f>
        <v>38.7222255150756</v>
      </c>
      <c r="J246" s="24" t="n">
        <f aca="false">J243+J244</f>
        <v>38.7222255150756</v>
      </c>
      <c r="K246" s="24" t="n">
        <f aca="false">K243+K244</f>
        <v>38.7222255150756</v>
      </c>
      <c r="L246" s="24" t="n">
        <f aca="false">L243+L244</f>
        <v>35.8797095884021</v>
      </c>
      <c r="M246" s="24" t="n">
        <f aca="false">M243+M244</f>
        <v>35.8797095884021</v>
      </c>
      <c r="N246" s="24" t="n">
        <f aca="false">N243+N244</f>
        <v>35.8797095884021</v>
      </c>
    </row>
    <row r="247" customFormat="false" ht="15" hidden="false" customHeight="false" outlineLevel="0" collapsed="false">
      <c r="B247" s="9" t="s">
        <v>200</v>
      </c>
      <c r="E247" s="22" t="n">
        <f aca="false">(E207-E208)/E246</f>
        <v>1.66612945454545</v>
      </c>
      <c r="F247" s="22" t="n">
        <f aca="false">(F207-F208)/F246</f>
        <v>1.71053046949495</v>
      </c>
      <c r="G247" s="22" t="n">
        <f aca="false">(G207-G208)/G246</f>
        <v>2.04570241088131</v>
      </c>
      <c r="H247" s="22" t="n">
        <f aca="false">(H207-H208)/H246</f>
        <v>2.09424485669414</v>
      </c>
      <c r="I247" s="22" t="n">
        <f aca="false">(I207-I208)/I246</f>
        <v>1.25</v>
      </c>
      <c r="J247" s="22" t="n">
        <f aca="false">(J207-J208)/J246</f>
        <v>1.26567013137039</v>
      </c>
      <c r="K247" s="22" t="n">
        <f aca="false">(K207-K208)/K246</f>
        <v>1.28141473108153</v>
      </c>
      <c r="L247" s="22" t="n">
        <f aca="false">(L207-L208)/L246</f>
        <v>1.4</v>
      </c>
      <c r="M247" s="22" t="n">
        <f aca="false">(M207-M208)/M246</f>
        <v>1.21558856569981</v>
      </c>
      <c r="N247" s="22" t="n">
        <f aca="false">(N207-N208)/N246</f>
        <v>1.22875834556155</v>
      </c>
    </row>
    <row r="248" customFormat="false" ht="15" hidden="false" customHeight="false" outlineLevel="0" collapsed="false">
      <c r="B248" s="29" t="s">
        <v>201</v>
      </c>
      <c r="C248" s="32" t="n">
        <f aca="false">MIN(I247:K247)</f>
        <v>1.25</v>
      </c>
    </row>
    <row r="250" customFormat="false" ht="15" hidden="false" customHeight="false" outlineLevel="0" collapsed="false">
      <c r="B250" s="25" t="s">
        <v>202</v>
      </c>
      <c r="C250" s="26"/>
      <c r="D250" s="26" t="n">
        <v>0</v>
      </c>
      <c r="E250" s="26" t="n">
        <v>1</v>
      </c>
      <c r="F250" s="26" t="n">
        <v>2</v>
      </c>
      <c r="G250" s="26" t="n">
        <v>3</v>
      </c>
      <c r="H250" s="26" t="n">
        <v>4</v>
      </c>
      <c r="I250" s="26" t="n">
        <v>5</v>
      </c>
      <c r="J250" s="26" t="n">
        <v>6</v>
      </c>
      <c r="K250" s="26" t="n">
        <v>7</v>
      </c>
      <c r="L250" s="26" t="n">
        <v>8</v>
      </c>
      <c r="M250" s="26" t="n">
        <v>9</v>
      </c>
      <c r="N250" s="26" t="n">
        <v>10</v>
      </c>
    </row>
    <row r="251" customFormat="false" ht="15" hidden="false" customHeight="false" outlineLevel="0" collapsed="false">
      <c r="B251" s="9" t="s">
        <v>203</v>
      </c>
      <c r="D251" s="24" t="n">
        <f aca="false">$C$226*(1-Inputs!$C$82)</f>
        <v>490.05</v>
      </c>
      <c r="E251" s="24" t="n">
        <f aca="false">-E246+IF(E$240=Inputs!$C$81,$C$237,0)</f>
        <v>-29.7</v>
      </c>
      <c r="F251" s="24" t="n">
        <f aca="false">-F246+IF(F$240=Inputs!$C$81,$C$237,0)</f>
        <v>-29.7</v>
      </c>
      <c r="G251" s="24" t="n">
        <f aca="false">-G246+IF(G$240=Inputs!$C$81,$C$237,0)</f>
        <v>-38.7222255150756</v>
      </c>
      <c r="H251" s="24" t="n">
        <f aca="false">-H246+IF(H$240=Inputs!$C$81,$C$237,0)</f>
        <v>-38.7222255150756</v>
      </c>
      <c r="I251" s="24" t="n">
        <f aca="false">-I246+IF(I$240=Inputs!$C$81,$C$237,0)</f>
        <v>-38.7222255150756</v>
      </c>
      <c r="J251" s="24" t="n">
        <f aca="false">-J246+IF(J$240=Inputs!$C$81,$C$237,0)</f>
        <v>-38.7222255150756</v>
      </c>
      <c r="K251" s="24" t="n">
        <f aca="false">-K246+IF(K$240=Inputs!$C$81,$C$237,0)</f>
        <v>-91.4756698487615</v>
      </c>
      <c r="L251" s="24" t="n">
        <f aca="false">-L246+IF(L$240=Inputs!$C$81,$C$237,0)</f>
        <v>-35.8797095884021</v>
      </c>
      <c r="M251" s="24" t="n">
        <f aca="false">-M246+IF(M$240=Inputs!$C$81,$C$237,0)</f>
        <v>-35.8797095884021</v>
      </c>
      <c r="N251" s="24" t="n">
        <f aca="false">-N246+IF(N$240=Inputs!$C$81,$C$237,0)-N245</f>
        <v>-398.644265266385</v>
      </c>
    </row>
    <row r="252" customFormat="false" ht="15" hidden="false" customHeight="false" outlineLevel="0" collapsed="false">
      <c r="B252" s="29" t="s">
        <v>202</v>
      </c>
      <c r="D252" s="30" t="n">
        <f aca="false">D223+D251</f>
        <v>-427.95</v>
      </c>
      <c r="E252" s="30" t="n">
        <f aca="false">E223+E251</f>
        <v>-64.2159552</v>
      </c>
      <c r="F252" s="30" t="n">
        <f aca="false">F223+F251</f>
        <v>-62.897245056</v>
      </c>
      <c r="G252" s="30" t="n">
        <f aca="false">G223+G251</f>
        <v>40.4919245758044</v>
      </c>
      <c r="H252" s="30" t="n">
        <f aca="false">H223+H251</f>
        <v>42.371596109622</v>
      </c>
      <c r="I252" s="30" t="n">
        <f aca="false">I223+I251</f>
        <v>9.68055637876889</v>
      </c>
      <c r="J252" s="30" t="n">
        <f aca="false">J223+J251</f>
        <v>10.2873387395441</v>
      </c>
      <c r="K252" s="30" t="n">
        <f aca="false">K223+K251</f>
        <v>-41.8564396534825</v>
      </c>
      <c r="L252" s="30" t="n">
        <f aca="false">L223+L251</f>
        <v>14.3518838353608</v>
      </c>
      <c r="M252" s="30" t="n">
        <f aca="false">M223+M251</f>
        <v>-5.06474487211076</v>
      </c>
      <c r="N252" s="30" t="n">
        <f aca="false">N223+N251</f>
        <v>385.820494865027</v>
      </c>
    </row>
    <row r="253" customFormat="false" ht="15" hidden="false" customHeight="false" outlineLevel="0" collapsed="false">
      <c r="B253" s="29" t="s">
        <v>204</v>
      </c>
      <c r="C253" s="31" t="n">
        <f aca="false">IRR(D252:N252,0.08)</f>
        <v>-0.0226489317235906</v>
      </c>
    </row>
    <row r="254" customFormat="false" ht="15" hidden="false" customHeight="false" outlineLevel="0" collapsed="false">
      <c r="B254" s="9" t="s">
        <v>205</v>
      </c>
      <c r="C254" s="33" t="n">
        <f aca="false">SUMIF(D252:N252,"&gt;0")/-SUMIF(D252:N252,"&lt;0")</f>
        <v>0.835576149847513</v>
      </c>
    </row>
    <row r="255" customFormat="false" ht="15" hidden="false" customHeight="false" outlineLevel="0" collapsed="false">
      <c r="B255" s="9" t="s">
        <v>206</v>
      </c>
      <c r="C255" s="24" t="n">
        <f aca="false">-D252</f>
        <v>427.95</v>
      </c>
    </row>
    <row r="257" customFormat="false" ht="15" hidden="false" customHeight="false" outlineLevel="0" collapsed="false">
      <c r="B257" s="29" t="s">
        <v>272</v>
      </c>
      <c r="C257" s="36" t="n">
        <f aca="false">Inputs!$C$88</f>
        <v>1.25</v>
      </c>
    </row>
    <row r="258" customFormat="false" ht="15" hidden="false" customHeight="false" outlineLevel="0" collapsed="false">
      <c r="B258" s="29" t="s">
        <v>273</v>
      </c>
      <c r="C258" s="36" t="n">
        <f aca="false">Thresholds!$C$248</f>
        <v>1.25</v>
      </c>
    </row>
    <row r="259" customFormat="false" ht="15" hidden="false" customHeight="false" outlineLevel="0" collapsed="false">
      <c r="B259" s="29" t="s">
        <v>264</v>
      </c>
      <c r="C259" s="37" t="n">
        <f aca="false">C258-C257</f>
        <v>0</v>
      </c>
    </row>
    <row r="260" customFormat="false" ht="15" hidden="false" customHeight="false" outlineLevel="0" collapsed="false">
      <c r="B260" s="29" t="s">
        <v>265</v>
      </c>
      <c r="C260" s="38" t="str">
        <f aca="false">IF(ABS(C259)&lt;=0.000001,"OK","FAIL")</f>
        <v>OK</v>
      </c>
    </row>
    <row r="263" customFormat="false" ht="15" hidden="false" customHeight="false" outlineLevel="0" collapsed="false">
      <c r="B263" s="7" t="s">
        <v>274</v>
      </c>
      <c r="C263" s="8"/>
      <c r="D263" s="8"/>
      <c r="E263" s="8"/>
      <c r="F263" s="8"/>
      <c r="G263" s="8"/>
      <c r="H263" s="8"/>
      <c r="I263" s="8"/>
      <c r="J263" s="8"/>
      <c r="K263" s="8"/>
      <c r="L263" s="8"/>
      <c r="M263" s="8"/>
      <c r="N263" s="8"/>
      <c r="O263" s="8"/>
    </row>
    <row r="264" customFormat="false" ht="15" hidden="false" customHeight="false" outlineLevel="0" collapsed="false">
      <c r="B264" s="29" t="s">
        <v>275</v>
      </c>
      <c r="C264" s="39" t="n">
        <v>0.879433548555782</v>
      </c>
      <c r="D264" s="6" t="s">
        <v>261</v>
      </c>
    </row>
    <row r="265" customFormat="false" ht="15" hidden="false" customHeight="false" outlineLevel="0" collapsed="false">
      <c r="B265" s="9" t="s">
        <v>130</v>
      </c>
      <c r="C265" s="18" t="str">
        <f aca="false">Inputs!$C$42</f>
        <v>renew</v>
      </c>
    </row>
    <row r="266" customFormat="false" ht="15" hidden="false" customHeight="false" outlineLevel="0" collapsed="false">
      <c r="B266" s="9" t="s">
        <v>131</v>
      </c>
      <c r="C266" s="19" t="n">
        <f aca="false">Inputs!$C$25</f>
        <v>0</v>
      </c>
    </row>
    <row r="267" customFormat="false" ht="15" hidden="false" customHeight="false" outlineLevel="0" collapsed="false">
      <c r="B267" s="9" t="s">
        <v>132</v>
      </c>
      <c r="C267" s="20" t="n">
        <f aca="false">Inputs!$C$32</f>
        <v>3</v>
      </c>
    </row>
    <row r="268" customFormat="false" ht="15" hidden="false" customHeight="false" outlineLevel="0" collapsed="false">
      <c r="B268" s="9" t="s">
        <v>133</v>
      </c>
      <c r="C268" s="13" t="n">
        <v>0</v>
      </c>
    </row>
    <row r="269" customFormat="false" ht="15" hidden="false" customHeight="false" outlineLevel="0" collapsed="false">
      <c r="B269" s="9" t="s">
        <v>134</v>
      </c>
      <c r="C269" s="21" t="n">
        <f aca="false">Inputs!$C$60</f>
        <v>0.45</v>
      </c>
    </row>
    <row r="270" customFormat="false" ht="15" hidden="false" customHeight="false" outlineLevel="0" collapsed="false">
      <c r="B270" s="9" t="s">
        <v>135</v>
      </c>
      <c r="C270" s="22" t="n">
        <f aca="false">Inputs!$C$61</f>
        <v>1.55</v>
      </c>
    </row>
    <row r="271" customFormat="false" ht="15" hidden="false" customHeight="false" outlineLevel="0" collapsed="false">
      <c r="B271" s="9" t="s">
        <v>136</v>
      </c>
      <c r="C271" s="23" t="n">
        <f aca="false">Inputs!$C$71</f>
        <v>0</v>
      </c>
    </row>
    <row r="272" customFormat="false" ht="15" hidden="false" customHeight="false" outlineLevel="0" collapsed="false">
      <c r="B272" s="9" t="s">
        <v>30</v>
      </c>
      <c r="C272" s="22" t="n">
        <f aca="false">Inputs!$C$18</f>
        <v>1.4</v>
      </c>
    </row>
    <row r="273" customFormat="false" ht="15" hidden="false" customHeight="false" outlineLevel="0" collapsed="false">
      <c r="B273" s="9" t="s">
        <v>137</v>
      </c>
      <c r="C273" s="19" t="n">
        <f aca="false">$C$264</f>
        <v>0.879433548555782</v>
      </c>
    </row>
    <row r="274" customFormat="false" ht="15" hidden="false" customHeight="false" outlineLevel="0" collapsed="false">
      <c r="B274" s="9" t="s">
        <v>138</v>
      </c>
      <c r="C274" s="24" t="n">
        <f aca="false">Inputs!$C$49</f>
        <v>120</v>
      </c>
    </row>
    <row r="275" customFormat="false" ht="15" hidden="false" customHeight="false" outlineLevel="0" collapsed="false">
      <c r="B275" s="9" t="s">
        <v>139</v>
      </c>
      <c r="C275" s="24" t="n">
        <f aca="false">Inputs!$C$64</f>
        <v>900</v>
      </c>
    </row>
    <row r="276" customFormat="false" ht="15" hidden="false" customHeight="false" outlineLevel="0" collapsed="false">
      <c r="B276" s="9" t="s">
        <v>140</v>
      </c>
      <c r="C276" s="24" t="n">
        <f aca="false">Inputs!$C$6*1000*Inputs!$C$7*12*(1+Inputs!$C$8)^(Inputs!$C$9-1)/1000000</f>
        <v>60.8711509000706</v>
      </c>
    </row>
    <row r="277" customFormat="false" ht="15" hidden="false" customHeight="false" outlineLevel="0" collapsed="false">
      <c r="B277" s="25" t="s">
        <v>141</v>
      </c>
      <c r="C277" s="26"/>
      <c r="E277" s="26" t="n">
        <v>1</v>
      </c>
      <c r="F277" s="26" t="n">
        <v>2</v>
      </c>
      <c r="G277" s="26" t="n">
        <v>3</v>
      </c>
      <c r="H277" s="26" t="n">
        <v>4</v>
      </c>
      <c r="I277" s="26" t="n">
        <v>5</v>
      </c>
      <c r="J277" s="26" t="n">
        <v>6</v>
      </c>
      <c r="K277" s="26" t="n">
        <v>7</v>
      </c>
      <c r="L277" s="26" t="n">
        <v>8</v>
      </c>
      <c r="M277" s="26" t="n">
        <v>9</v>
      </c>
      <c r="N277" s="26" t="n">
        <v>10</v>
      </c>
      <c r="O277" s="26" t="n">
        <v>11</v>
      </c>
    </row>
    <row r="278" customFormat="false" ht="15" hidden="false" customHeight="false" outlineLevel="0" collapsed="false">
      <c r="B278" s="9" t="s">
        <v>142</v>
      </c>
      <c r="E278" s="24" t="n">
        <f aca="false">IF(E$277&lt;=Inputs!$C$22,Inputs!$C$21,Inputs!$C$23*(1+Inputs!$C$24)^(E$277-5)*IF(AND($C$266&lt;&gt;0,E$277&gt;=Inputs!$C$26),1+$C$266,1))</f>
        <v>61</v>
      </c>
      <c r="F278" s="24" t="n">
        <f aca="false">IF(F$277&lt;=Inputs!$C$22,Inputs!$C$21,Inputs!$C$23*(1+Inputs!$C$24)^(F$277-5)*IF(AND($C$266&lt;&gt;0,F$277&gt;=Inputs!$C$26),1+$C$266,1))</f>
        <v>61</v>
      </c>
      <c r="G278" s="24" t="n">
        <f aca="false">IF(G$277&lt;=Inputs!$C$22,Inputs!$C$21,Inputs!$C$23*(1+Inputs!$C$24)^(G$277-5)*IF(AND($C$266&lt;&gt;0,G$277&gt;=Inputs!$C$26),1+$C$266,1))</f>
        <v>61</v>
      </c>
      <c r="H278" s="24" t="n">
        <f aca="false">IF(H$277&lt;=Inputs!$C$22,Inputs!$C$21,Inputs!$C$23*(1+Inputs!$C$24)^(H$277-5)*IF(AND($C$266&lt;&gt;0,H$277&gt;=Inputs!$C$26),1+$C$266,1))</f>
        <v>61</v>
      </c>
      <c r="I278" s="24" t="n">
        <f aca="false">IF(I$277&lt;=Inputs!$C$22,Inputs!$C$21,Inputs!$C$23*(1+Inputs!$C$24)^(I$277-5)*IF(AND($C$266&lt;&gt;0,I$277&gt;=Inputs!$C$26),1+$C$266,1))</f>
        <v>67</v>
      </c>
      <c r="J278" s="24" t="n">
        <f aca="false">IF(J$277&lt;=Inputs!$C$22,Inputs!$C$21,Inputs!$C$23*(1+Inputs!$C$24)^(J$277-5)*IF(AND($C$266&lt;&gt;0,J$277&gt;=Inputs!$C$26),1+$C$266,1))</f>
        <v>68.675</v>
      </c>
      <c r="K278" s="24" t="n">
        <f aca="false">IF(K$277&lt;=Inputs!$C$22,Inputs!$C$21,Inputs!$C$23*(1+Inputs!$C$24)^(K$277-5)*IF(AND($C$266&lt;&gt;0,K$277&gt;=Inputs!$C$26),1+$C$266,1))</f>
        <v>70.391875</v>
      </c>
      <c r="L278" s="24" t="n">
        <f aca="false">IF(L$277&lt;=Inputs!$C$22,Inputs!$C$21,Inputs!$C$23*(1+Inputs!$C$24)^(L$277-5)*IF(AND($C$266&lt;&gt;0,L$277&gt;=Inputs!$C$26),1+$C$266,1))</f>
        <v>72.151671875</v>
      </c>
      <c r="M278" s="24" t="n">
        <f aca="false">IF(M$277&lt;=Inputs!$C$22,Inputs!$C$21,Inputs!$C$23*(1+Inputs!$C$24)^(M$277-5)*IF(AND($C$266&lt;&gt;0,M$277&gt;=Inputs!$C$26),1+$C$266,1))</f>
        <v>73.955463671875</v>
      </c>
      <c r="N278" s="24" t="n">
        <f aca="false">IF(N$277&lt;=Inputs!$C$22,Inputs!$C$21,Inputs!$C$23*(1+Inputs!$C$24)^(N$277-5)*IF(AND($C$266&lt;&gt;0,N$277&gt;=Inputs!$C$26),1+$C$266,1))</f>
        <v>75.8043502636718</v>
      </c>
      <c r="O278" s="24" t="n">
        <f aca="false">IF(O$277&lt;=Inputs!$C$22,Inputs!$C$21,Inputs!$C$23*(1+Inputs!$C$24)^(O$277-5)*IF(AND($C$266&lt;&gt;0,O$277&gt;=Inputs!$C$26),1+$C$266,1))</f>
        <v>77.6994590202636</v>
      </c>
    </row>
    <row r="279" customFormat="false" ht="15" hidden="false" customHeight="false" outlineLevel="0" collapsed="false">
      <c r="B279" s="9" t="s">
        <v>143</v>
      </c>
      <c r="E279" s="24" t="n">
        <f aca="false">Inputs!$C$19*(1+Inputs!$C$20)^(E$277-1)</f>
        <v>74</v>
      </c>
      <c r="F279" s="24" t="n">
        <f aca="false">Inputs!$C$19*(1+Inputs!$C$20)^(F$277-1)</f>
        <v>75.48</v>
      </c>
      <c r="G279" s="24" t="n">
        <f aca="false">Inputs!$C$19*(1+Inputs!$C$20)^(G$277-1)</f>
        <v>76.9896</v>
      </c>
      <c r="H279" s="24" t="n">
        <f aca="false">Inputs!$C$19*(1+Inputs!$C$20)^(H$277-1)</f>
        <v>78.529392</v>
      </c>
      <c r="I279" s="24" t="n">
        <f aca="false">Inputs!$C$19*(1+Inputs!$C$20)^(I$277-1)</f>
        <v>80.09997984</v>
      </c>
      <c r="J279" s="24" t="n">
        <f aca="false">Inputs!$C$19*(1+Inputs!$C$20)^(J$277-1)</f>
        <v>81.7019794368</v>
      </c>
      <c r="K279" s="24" t="n">
        <f aca="false">Inputs!$C$19*(1+Inputs!$C$20)^(K$277-1)</f>
        <v>83.336019025536</v>
      </c>
      <c r="L279" s="24" t="n">
        <f aca="false">Inputs!$C$19*(1+Inputs!$C$20)^(L$277-1)</f>
        <v>85.0027394060467</v>
      </c>
      <c r="M279" s="24" t="n">
        <f aca="false">Inputs!$C$19*(1+Inputs!$C$20)^(M$277-1)</f>
        <v>86.7027941941677</v>
      </c>
      <c r="N279" s="24" t="n">
        <f aca="false">Inputs!$C$19*(1+Inputs!$C$20)^(N$277-1)</f>
        <v>88.436850078051</v>
      </c>
      <c r="O279" s="24" t="n">
        <f aca="false">Inputs!$C$19*(1+Inputs!$C$20)^(O$277-1)</f>
        <v>90.205587079612</v>
      </c>
    </row>
    <row r="280" customFormat="false" ht="15" hidden="false" customHeight="false" outlineLevel="0" collapsed="false">
      <c r="B280" s="9" t="s">
        <v>144</v>
      </c>
      <c r="E280" s="27" t="n">
        <f aca="false">(1+Inputs!$C$11)^(E$277-1)</f>
        <v>1</v>
      </c>
      <c r="F280" s="27" t="n">
        <f aca="false">(1+Inputs!$C$11)^(F$277-1)</f>
        <v>1.03</v>
      </c>
      <c r="G280" s="27" t="n">
        <f aca="false">(1+Inputs!$C$11)^(G$277-1)</f>
        <v>1.0609</v>
      </c>
      <c r="H280" s="27" t="n">
        <f aca="false">(1+Inputs!$C$11)^(H$277-1)</f>
        <v>1.092727</v>
      </c>
      <c r="I280" s="27" t="n">
        <f aca="false">(1+Inputs!$C$11)^(I$277-1)</f>
        <v>1.12550881</v>
      </c>
      <c r="J280" s="27" t="n">
        <f aca="false">(1+Inputs!$C$11)^(J$277-1)</f>
        <v>1.1592740743</v>
      </c>
      <c r="K280" s="27" t="n">
        <f aca="false">(1+Inputs!$C$11)^(K$277-1)</f>
        <v>1.194052296529</v>
      </c>
      <c r="L280" s="27" t="n">
        <f aca="false">(1+Inputs!$C$11)^(L$277-1)</f>
        <v>1.22987386542487</v>
      </c>
      <c r="M280" s="27" t="n">
        <f aca="false">(1+Inputs!$C$11)^(M$277-1)</f>
        <v>1.26677008138762</v>
      </c>
      <c r="N280" s="27" t="n">
        <f aca="false">(1+Inputs!$C$11)^(N$277-1)</f>
        <v>1.30477318382925</v>
      </c>
      <c r="O280" s="27" t="n">
        <f aca="false">(1+Inputs!$C$11)^(O$277-1)</f>
        <v>1.34391637934412</v>
      </c>
    </row>
    <row r="281" customFormat="false" ht="15" hidden="false" customHeight="false" outlineLevel="0" collapsed="false">
      <c r="B281" s="9" t="s">
        <v>145</v>
      </c>
      <c r="E281" s="19" t="n">
        <f aca="false">IF(OR(E$277&lt;=Inputs!$C$9,$C$265="renew"),IF(AND($C$268&gt;0,E$277&gt;=$C$268),$C$269,Inputs!$C$16),IF($C$265="stranded",0,Inputs!$C$16))</f>
        <v>0.8</v>
      </c>
      <c r="F281" s="19" t="n">
        <f aca="false">IF(OR(F$277&lt;=Inputs!$C$9,$C$265="renew"),IF(AND($C$268&gt;0,F$277&gt;=$C$268),$C$269,Inputs!$C$16),IF($C$265="stranded",0,Inputs!$C$16))</f>
        <v>0.8</v>
      </c>
      <c r="G281" s="19" t="n">
        <f aca="false">IF(OR(G$277&lt;=Inputs!$C$9,$C$265="renew"),IF(AND($C$268&gt;0,G$277&gt;=$C$268),$C$269,Inputs!$C$16),IF($C$265="stranded",0,Inputs!$C$16))</f>
        <v>0.8</v>
      </c>
      <c r="H281" s="19" t="n">
        <f aca="false">IF(OR(H$277&lt;=Inputs!$C$9,$C$265="renew"),IF(AND($C$268&gt;0,H$277&gt;=$C$268),$C$269,Inputs!$C$16),IF($C$265="stranded",0,Inputs!$C$16))</f>
        <v>0.8</v>
      </c>
      <c r="I281" s="19" t="n">
        <f aca="false">IF(OR(I$277&lt;=Inputs!$C$9,$C$265="renew"),IF(AND($C$268&gt;0,I$277&gt;=$C$268),$C$269,Inputs!$C$16),IF($C$265="stranded",0,Inputs!$C$16))</f>
        <v>0.8</v>
      </c>
      <c r="J281" s="19" t="n">
        <f aca="false">IF(OR(J$277&lt;=Inputs!$C$9,$C$265="renew"),IF(AND($C$268&gt;0,J$277&gt;=$C$268),$C$269,Inputs!$C$16),IF($C$265="stranded",0,Inputs!$C$16))</f>
        <v>0.8</v>
      </c>
      <c r="K281" s="19" t="n">
        <f aca="false">IF(OR(K$277&lt;=Inputs!$C$9,$C$265="renew"),IF(AND($C$268&gt;0,K$277&gt;=$C$268),$C$269,Inputs!$C$16),IF($C$265="stranded",0,Inputs!$C$16))</f>
        <v>0.8</v>
      </c>
      <c r="L281" s="19" t="n">
        <f aca="false">IF(OR(L$277&lt;=Inputs!$C$9,$C$265="renew"),IF(AND($C$268&gt;0,L$277&gt;=$C$268),$C$269,Inputs!$C$16),IF($C$265="stranded",0,Inputs!$C$16))</f>
        <v>0.8</v>
      </c>
      <c r="M281" s="19" t="n">
        <f aca="false">IF(OR(M$277&lt;=Inputs!$C$9,$C$265="renew"),IF(AND($C$268&gt;0,M$277&gt;=$C$268),$C$269,Inputs!$C$16),IF($C$265="stranded",0,Inputs!$C$16))</f>
        <v>0.8</v>
      </c>
      <c r="N281" s="19" t="n">
        <f aca="false">IF(OR(N$277&lt;=Inputs!$C$9,$C$265="renew"),IF(AND($C$268&gt;0,N$277&gt;=$C$268),$C$269,Inputs!$C$16),IF($C$265="stranded",0,Inputs!$C$16))</f>
        <v>0.8</v>
      </c>
      <c r="O281" s="19" t="n">
        <f aca="false">IF(OR(O$277&lt;=Inputs!$C$9,$C$265="renew"),IF(AND($C$268&gt;0,O$277&gt;=$C$268),$C$269,Inputs!$C$16),IF($C$265="stranded",0,Inputs!$C$16))</f>
        <v>0.8</v>
      </c>
    </row>
    <row r="282" customFormat="false" ht="15" hidden="false" customHeight="false" outlineLevel="0" collapsed="false">
      <c r="B282" s="9" t="s">
        <v>146</v>
      </c>
      <c r="E282" s="22" t="n">
        <f aca="false">IF(OR(E$277&lt;=Inputs!$C$9,$C$265="renew"),IF(AND($C$268&gt;0,E$277&gt;=$C$268),$C$270,$C$272),IF($C$265="retrofit",Inputs!$C$47,IF($C$265="relet",Inputs!$C$53,0)))</f>
        <v>1.4</v>
      </c>
      <c r="F282" s="22" t="n">
        <f aca="false">IF(OR(F$277&lt;=Inputs!$C$9,$C$265="renew"),IF(AND($C$268&gt;0,F$277&gt;=$C$268),$C$270,$C$272),IF($C$265="retrofit",Inputs!$C$47,IF($C$265="relet",Inputs!$C$53,0)))</f>
        <v>1.4</v>
      </c>
      <c r="G282" s="22" t="n">
        <f aca="false">IF(OR(G$277&lt;=Inputs!$C$9,$C$265="renew"),IF(AND($C$268&gt;0,G$277&gt;=$C$268),$C$270,$C$272),IF($C$265="retrofit",Inputs!$C$47,IF($C$265="relet",Inputs!$C$53,0)))</f>
        <v>1.4</v>
      </c>
      <c r="H282" s="22" t="n">
        <f aca="false">IF(OR(H$277&lt;=Inputs!$C$9,$C$265="renew"),IF(AND($C$268&gt;0,H$277&gt;=$C$268),$C$270,$C$272),IF($C$265="retrofit",Inputs!$C$47,IF($C$265="relet",Inputs!$C$53,0)))</f>
        <v>1.4</v>
      </c>
      <c r="I282" s="22" t="n">
        <f aca="false">IF(OR(I$277&lt;=Inputs!$C$9,$C$265="renew"),IF(AND($C$268&gt;0,I$277&gt;=$C$268),$C$270,$C$272),IF($C$265="retrofit",Inputs!$C$47,IF($C$265="relet",Inputs!$C$53,0)))</f>
        <v>1.4</v>
      </c>
      <c r="J282" s="22" t="n">
        <f aca="false">IF(OR(J$277&lt;=Inputs!$C$9,$C$265="renew"),IF(AND($C$268&gt;0,J$277&gt;=$C$268),$C$270,$C$272),IF($C$265="retrofit",Inputs!$C$47,IF($C$265="relet",Inputs!$C$53,0)))</f>
        <v>1.4</v>
      </c>
      <c r="K282" s="22" t="n">
        <f aca="false">IF(OR(K$277&lt;=Inputs!$C$9,$C$265="renew"),IF(AND($C$268&gt;0,K$277&gt;=$C$268),$C$270,$C$272),IF($C$265="retrofit",Inputs!$C$47,IF($C$265="relet",Inputs!$C$53,0)))</f>
        <v>1.4</v>
      </c>
      <c r="L282" s="22" t="n">
        <f aca="false">IF(OR(L$277&lt;=Inputs!$C$9,$C$265="renew"),IF(AND($C$268&gt;0,L$277&gt;=$C$268),$C$270,$C$272),IF($C$265="retrofit",Inputs!$C$47,IF($C$265="relet",Inputs!$C$53,0)))</f>
        <v>1.4</v>
      </c>
      <c r="M282" s="22" t="n">
        <f aca="false">IF(OR(M$277&lt;=Inputs!$C$9,$C$265="renew"),IF(AND($C$268&gt;0,M$277&gt;=$C$268),$C$270,$C$272),IF($C$265="retrofit",Inputs!$C$47,IF($C$265="relet",Inputs!$C$53,0)))</f>
        <v>1.4</v>
      </c>
      <c r="N282" s="22" t="n">
        <f aca="false">IF(OR(N$277&lt;=Inputs!$C$9,$C$265="renew"),IF(AND($C$268&gt;0,N$277&gt;=$C$268),$C$270,$C$272),IF($C$265="retrofit",Inputs!$C$47,IF($C$265="relet",Inputs!$C$53,0)))</f>
        <v>1.4</v>
      </c>
      <c r="O282" s="22" t="n">
        <f aca="false">IF(OR(O$277&lt;=Inputs!$C$9,$C$265="renew"),IF(AND($C$268&gt;0,O$277&gt;=$C$268),$C$270,$C$272),IF($C$265="retrofit",Inputs!$C$47,IF($C$265="relet",Inputs!$C$53,0)))</f>
        <v>1.4</v>
      </c>
    </row>
    <row r="283" customFormat="false" ht="15" hidden="false" customHeight="false" outlineLevel="0" collapsed="false">
      <c r="B283" s="9" t="s">
        <v>147</v>
      </c>
      <c r="E283" s="21" t="n">
        <f aca="false">IF(OR(E$277&lt;=Inputs!$C$9,$C$265="renew"),1,IF($C$265="retrofit",IF(E$277-Inputs!$C$9=1,0,1),IF($C$265="relet",CHOOSE(MIN(E$277-Inputs!$C$9,3),Inputs!$C$50,Inputs!$C$51,Inputs!$C$52),0)))</f>
        <v>1</v>
      </c>
      <c r="F283" s="21" t="n">
        <f aca="false">IF(OR(F$277&lt;=Inputs!$C$9,$C$265="renew"),1,IF($C$265="retrofit",IF(F$277-Inputs!$C$9=1,0,1),IF($C$265="relet",CHOOSE(MIN(F$277-Inputs!$C$9,3),Inputs!$C$50,Inputs!$C$51,Inputs!$C$52),0)))</f>
        <v>1</v>
      </c>
      <c r="G283" s="21" t="n">
        <f aca="false">IF(OR(G$277&lt;=Inputs!$C$9,$C$265="renew"),1,IF($C$265="retrofit",IF(G$277-Inputs!$C$9=1,0,1),IF($C$265="relet",CHOOSE(MIN(G$277-Inputs!$C$9,3),Inputs!$C$50,Inputs!$C$51,Inputs!$C$52),0)))</f>
        <v>1</v>
      </c>
      <c r="H283" s="21" t="n">
        <f aca="false">IF(OR(H$277&lt;=Inputs!$C$9,$C$265="renew"),1,IF($C$265="retrofit",IF(H$277-Inputs!$C$9=1,0,1),IF($C$265="relet",CHOOSE(MIN(H$277-Inputs!$C$9,3),Inputs!$C$50,Inputs!$C$51,Inputs!$C$52),0)))</f>
        <v>1</v>
      </c>
      <c r="I283" s="21" t="n">
        <f aca="false">IF(OR(I$277&lt;=Inputs!$C$9,$C$265="renew"),1,IF($C$265="retrofit",IF(I$277-Inputs!$C$9=1,0,1),IF($C$265="relet",CHOOSE(MIN(I$277-Inputs!$C$9,3),Inputs!$C$50,Inputs!$C$51,Inputs!$C$52),0)))</f>
        <v>1</v>
      </c>
      <c r="J283" s="21" t="n">
        <f aca="false">IF(OR(J$277&lt;=Inputs!$C$9,$C$265="renew"),1,IF($C$265="retrofit",IF(J$277-Inputs!$C$9=1,0,1),IF($C$265="relet",CHOOSE(MIN(J$277-Inputs!$C$9,3),Inputs!$C$50,Inputs!$C$51,Inputs!$C$52),0)))</f>
        <v>1</v>
      </c>
      <c r="K283" s="21" t="n">
        <f aca="false">IF(OR(K$277&lt;=Inputs!$C$9,$C$265="renew"),1,IF($C$265="retrofit",IF(K$277-Inputs!$C$9=1,0,1),IF($C$265="relet",CHOOSE(MIN(K$277-Inputs!$C$9,3),Inputs!$C$50,Inputs!$C$51,Inputs!$C$52),0)))</f>
        <v>1</v>
      </c>
      <c r="L283" s="21" t="n">
        <f aca="false">IF(OR(L$277&lt;=Inputs!$C$9,$C$265="renew"),1,IF($C$265="retrofit",IF(L$277-Inputs!$C$9=1,0,1),IF($C$265="relet",CHOOSE(MIN(L$277-Inputs!$C$9,3),Inputs!$C$50,Inputs!$C$51,Inputs!$C$52),0)))</f>
        <v>1</v>
      </c>
      <c r="M283" s="21" t="n">
        <f aca="false">IF(OR(M$277&lt;=Inputs!$C$9,$C$265="renew"),1,IF($C$265="retrofit",IF(M$277-Inputs!$C$9=1,0,1),IF($C$265="relet",CHOOSE(MIN(M$277-Inputs!$C$9,3),Inputs!$C$50,Inputs!$C$51,Inputs!$C$52),0)))</f>
        <v>1</v>
      </c>
      <c r="N283" s="21" t="n">
        <f aca="false">IF(OR(N$277&lt;=Inputs!$C$9,$C$265="renew"),1,IF($C$265="retrofit",IF(N$277-Inputs!$C$9=1,0,1),IF($C$265="relet",CHOOSE(MIN(N$277-Inputs!$C$9,3),Inputs!$C$50,Inputs!$C$51,Inputs!$C$52),0)))</f>
        <v>1</v>
      </c>
      <c r="O283" s="21" t="n">
        <f aca="false">IF(OR(O$277&lt;=Inputs!$C$9,$C$265="renew"),1,IF($C$265="retrofit",IF(O$277-Inputs!$C$9=1,0,1),IF($C$265="relet",CHOOSE(MIN(O$277-Inputs!$C$9,3),Inputs!$C$50,Inputs!$C$51,Inputs!$C$52),0)))</f>
        <v>1</v>
      </c>
    </row>
    <row r="284" customFormat="false" ht="15" hidden="false" customHeight="false" outlineLevel="0" collapsed="false">
      <c r="B284" s="9" t="s">
        <v>148</v>
      </c>
      <c r="E284" s="28" t="n">
        <f aca="false">Inputs!$C$6*1000*E281*E283*8760/1000</f>
        <v>224256</v>
      </c>
      <c r="F284" s="28" t="n">
        <f aca="false">Inputs!$C$6*1000*F281*F283*8760/1000</f>
        <v>224256</v>
      </c>
      <c r="G284" s="28" t="n">
        <f aca="false">Inputs!$C$6*1000*G281*G283*8760/1000</f>
        <v>224256</v>
      </c>
      <c r="H284" s="28" t="n">
        <f aca="false">Inputs!$C$6*1000*H281*H283*8760/1000</f>
        <v>224256</v>
      </c>
      <c r="I284" s="28" t="n">
        <f aca="false">Inputs!$C$6*1000*I281*I283*8760/1000</f>
        <v>224256</v>
      </c>
      <c r="J284" s="28" t="n">
        <f aca="false">Inputs!$C$6*1000*J281*J283*8760/1000</f>
        <v>224256</v>
      </c>
      <c r="K284" s="28" t="n">
        <f aca="false">Inputs!$C$6*1000*K281*K283*8760/1000</f>
        <v>224256</v>
      </c>
      <c r="L284" s="28" t="n">
        <f aca="false">Inputs!$C$6*1000*L281*L283*8760/1000</f>
        <v>224256</v>
      </c>
      <c r="M284" s="28" t="n">
        <f aca="false">Inputs!$C$6*1000*M281*M283*8760/1000</f>
        <v>224256</v>
      </c>
      <c r="N284" s="28" t="n">
        <f aca="false">Inputs!$C$6*1000*N281*N283*8760/1000</f>
        <v>224256</v>
      </c>
      <c r="O284" s="28" t="n">
        <f aca="false">Inputs!$C$6*1000*O281*O283*8760/1000</f>
        <v>224256</v>
      </c>
    </row>
    <row r="285" customFormat="false" ht="15" hidden="false" customHeight="false" outlineLevel="0" collapsed="false">
      <c r="B285" s="9" t="s">
        <v>149</v>
      </c>
      <c r="E285" s="24" t="n">
        <f aca="false">IF(E$277&lt;=Inputs!$C$9,Inputs!$C$6*1000*Inputs!$C$7*12*(1+Inputs!$C$8)^(E$277-1)/1000000,IF($C$265="renew",$C$276*$C$273*(1+Inputs!$C$8)^(E$277-Inputs!$C$9-1),IF($C$265="retrofit",IF(E$277-Inputs!$C$9=1,0,Inputs!$C$6*1000*Inputs!$C$46*12*(1+Inputs!$C$8)^(E$277-Inputs!$C$9-2)/1000000),IF($C$265="relet",Inputs!$C$6*1000*E283*$C$274*12*(1+Inputs!$C$8)^(E$277-Inputs!$C$9-2)/1000000,0))))</f>
        <v>52.992</v>
      </c>
      <c r="F285" s="24" t="n">
        <f aca="false">IF(F$277&lt;=Inputs!$C$9,Inputs!$C$6*1000*Inputs!$C$7*12*(1+Inputs!$C$8)^(F$277-1)/1000000,IF($C$265="renew",$C$276*$C$273*(1+Inputs!$C$8)^(F$277-Inputs!$C$9-1),IF($C$265="retrofit",IF(F$277-Inputs!$C$9=1,0,Inputs!$C$6*1000*Inputs!$C$46*12*(1+Inputs!$C$8)^(F$277-Inputs!$C$9-2)/1000000),IF($C$265="relet",Inputs!$C$6*1000*F283*$C$274*12*(1+Inputs!$C$8)^(F$277-Inputs!$C$9-2)/1000000,0))))</f>
        <v>54.05184</v>
      </c>
      <c r="G285" s="24" t="n">
        <f aca="false">IF(G$277&lt;=Inputs!$C$9,Inputs!$C$6*1000*Inputs!$C$7*12*(1+Inputs!$C$8)^(G$277-1)/1000000,IF($C$265="renew",$C$276*$C$273*(1+Inputs!$C$8)^(G$277-Inputs!$C$9-1),IF($C$265="retrofit",IF(G$277-Inputs!$C$9=1,0,Inputs!$C$6*1000*Inputs!$C$46*12*(1+Inputs!$C$8)^(G$277-Inputs!$C$9-2)/1000000),IF($C$265="relet",Inputs!$C$6*1000*G283*$C$274*12*(1+Inputs!$C$8)^(G$277-Inputs!$C$9-2)/1000000,0))))</f>
        <v>55.1328768</v>
      </c>
      <c r="H285" s="24" t="n">
        <f aca="false">IF(H$277&lt;=Inputs!$C$9,Inputs!$C$6*1000*Inputs!$C$7*12*(1+Inputs!$C$8)^(H$277-1)/1000000,IF($C$265="renew",$C$276*$C$273*(1+Inputs!$C$8)^(H$277-Inputs!$C$9-1),IF($C$265="retrofit",IF(H$277-Inputs!$C$9=1,0,Inputs!$C$6*1000*Inputs!$C$46*12*(1+Inputs!$C$8)^(H$277-Inputs!$C$9-2)/1000000),IF($C$265="relet",Inputs!$C$6*1000*H283*$C$274*12*(1+Inputs!$C$8)^(H$277-Inputs!$C$9-2)/1000000,0))))</f>
        <v>56.235534336</v>
      </c>
      <c r="I285" s="24" t="n">
        <f aca="false">IF(I$277&lt;=Inputs!$C$9,Inputs!$C$6*1000*Inputs!$C$7*12*(1+Inputs!$C$8)^(I$277-1)/1000000,IF($C$265="renew",$C$276*$C$273*(1+Inputs!$C$8)^(I$277-Inputs!$C$9-1),IF($C$265="retrofit",IF(I$277-Inputs!$C$9=1,0,Inputs!$C$6*1000*Inputs!$C$46*12*(1+Inputs!$C$8)^(I$277-Inputs!$C$9-2)/1000000),IF($C$265="relet",Inputs!$C$6*1000*I283*$C$274*12*(1+Inputs!$C$8)^(I$277-Inputs!$C$9-2)/1000000,0))))</f>
        <v>57.36024502272</v>
      </c>
      <c r="J285" s="24" t="n">
        <f aca="false">IF(J$277&lt;=Inputs!$C$9,Inputs!$C$6*1000*Inputs!$C$7*12*(1+Inputs!$C$8)^(J$277-1)/1000000,IF($C$265="renew",$C$276*$C$273*(1+Inputs!$C$8)^(J$277-Inputs!$C$9-1),IF($C$265="retrofit",IF(J$277-Inputs!$C$9=1,0,Inputs!$C$6*1000*Inputs!$C$46*12*(1+Inputs!$C$8)^(J$277-Inputs!$C$9-2)/1000000),IF($C$265="relet",Inputs!$C$6*1000*J283*$C$274*12*(1+Inputs!$C$8)^(J$277-Inputs!$C$9-2)/1000000,0))))</f>
        <v>58.5074499231744</v>
      </c>
      <c r="K285" s="24" t="n">
        <f aca="false">IF(K$277&lt;=Inputs!$C$9,Inputs!$C$6*1000*Inputs!$C$7*12*(1+Inputs!$C$8)^(K$277-1)/1000000,IF($C$265="renew",$C$276*$C$273*(1+Inputs!$C$8)^(K$277-Inputs!$C$9-1),IF($C$265="retrofit",IF(K$277-Inputs!$C$9=1,0,Inputs!$C$6*1000*Inputs!$C$46*12*(1+Inputs!$C$8)^(K$277-Inputs!$C$9-2)/1000000),IF($C$265="relet",Inputs!$C$6*1000*K283*$C$274*12*(1+Inputs!$C$8)^(K$277-Inputs!$C$9-2)/1000000,0))))</f>
        <v>59.6775989216379</v>
      </c>
      <c r="L285" s="24" t="n">
        <f aca="false">IF(L$277&lt;=Inputs!$C$9,Inputs!$C$6*1000*Inputs!$C$7*12*(1+Inputs!$C$8)^(L$277-1)/1000000,IF($C$265="renew",$C$276*$C$273*(1+Inputs!$C$8)^(L$277-Inputs!$C$9-1),IF($C$265="retrofit",IF(L$277-Inputs!$C$9=1,0,Inputs!$C$6*1000*Inputs!$C$46*12*(1+Inputs!$C$8)^(L$277-Inputs!$C$9-2)/1000000),IF($C$265="relet",Inputs!$C$6*1000*L283*$C$274*12*(1+Inputs!$C$8)^(L$277-Inputs!$C$9-2)/1000000,0))))</f>
        <v>60.8711509000706</v>
      </c>
      <c r="M285" s="24" t="n">
        <f aca="false">IF(M$277&lt;=Inputs!$C$9,Inputs!$C$6*1000*Inputs!$C$7*12*(1+Inputs!$C$8)^(M$277-1)/1000000,IF($C$265="renew",$C$276*$C$273*(1+Inputs!$C$8)^(M$277-Inputs!$C$9-1),IF($C$265="retrofit",IF(M$277-Inputs!$C$9=1,0,Inputs!$C$6*1000*Inputs!$C$46*12*(1+Inputs!$C$8)^(M$277-Inputs!$C$9-2)/1000000),IF($C$265="relet",Inputs!$C$6*1000*M283*$C$274*12*(1+Inputs!$C$8)^(M$277-Inputs!$C$9-2)/1000000,0))))</f>
        <v>53.5321322407236</v>
      </c>
      <c r="N285" s="24" t="n">
        <f aca="false">IF(N$277&lt;=Inputs!$C$9,Inputs!$C$6*1000*Inputs!$C$7*12*(1+Inputs!$C$8)^(N$277-1)/1000000,IF($C$265="renew",$C$276*$C$273*(1+Inputs!$C$8)^(N$277-Inputs!$C$9-1),IF($C$265="retrofit",IF(N$277-Inputs!$C$9=1,0,Inputs!$C$6*1000*Inputs!$C$46*12*(1+Inputs!$C$8)^(N$277-Inputs!$C$9-2)/1000000),IF($C$265="relet",Inputs!$C$6*1000*N283*$C$274*12*(1+Inputs!$C$8)^(N$277-Inputs!$C$9-2)/1000000,0))))</f>
        <v>54.6027748855381</v>
      </c>
      <c r="O285" s="24" t="n">
        <f aca="false">IF(O$277&lt;=Inputs!$C$9,Inputs!$C$6*1000*Inputs!$C$7*12*(1+Inputs!$C$8)^(O$277-1)/1000000,IF($C$265="renew",$C$276*$C$273*(1+Inputs!$C$8)^(O$277-Inputs!$C$9-1),IF($C$265="retrofit",IF(O$277-Inputs!$C$9=1,0,Inputs!$C$6*1000*Inputs!$C$46*12*(1+Inputs!$C$8)^(O$277-Inputs!$C$9-2)/1000000),IF($C$265="relet",Inputs!$C$6*1000*O283*$C$274*12*(1+Inputs!$C$8)^(O$277-Inputs!$C$9-2)/1000000,0))))</f>
        <v>55.6948303832488</v>
      </c>
    </row>
    <row r="286" customFormat="false" ht="15" hidden="false" customHeight="false" outlineLevel="0" collapsed="false">
      <c r="B286" s="9" t="s">
        <v>150</v>
      </c>
      <c r="E286" s="24" t="n">
        <f aca="false">IF(OR(E$277&lt;=Inputs!$C$9,$C$265="renew"),E284*(Inputs!$C$17*E279-E282*E278)/1000000,E284*E282*Inputs!$C$27/1000000)</f>
        <v>2.4219648</v>
      </c>
      <c r="F286" s="24" t="n">
        <f aca="false">IF(OR(F$277&lt;=Inputs!$C$9,$C$265="renew"),F284*(Inputs!$C$17*F279-F282*F278)/1000000,F284*F282*Inputs!$C$27/1000000)</f>
        <v>2.853433344</v>
      </c>
      <c r="G286" s="24" t="n">
        <f aca="false">IF(OR(G$277&lt;=Inputs!$C$9,$C$265="renew"),G284*(Inputs!$C$17*G279-G282*G278)/1000000,G284*G282*Inputs!$C$27/1000000)</f>
        <v>3.29353125888</v>
      </c>
      <c r="H286" s="24" t="n">
        <f aca="false">IF(OR(H$277&lt;=Inputs!$C$9,$C$265="renew"),H284*(Inputs!$C$17*H279-H282*H278)/1000000,H284*H282*Inputs!$C$27/1000000)</f>
        <v>3.74243113205761</v>
      </c>
      <c r="I286" s="24" t="n">
        <f aca="false">IF(OR(I$277&lt;=Inputs!$C$9,$C$265="renew"),I284*(Inputs!$C$17*I279-I282*I278)/1000000,I284*I282*Inputs!$C$27/1000000)</f>
        <v>2.31655860269875</v>
      </c>
      <c r="J286" s="24" t="n">
        <f aca="false">IF(OR(J$277&lt;=Inputs!$C$9,$C$265="renew"),J284*(Inputs!$C$17*J279-J282*J278)/1000000,J284*J282*Inputs!$C$27/1000000)</f>
        <v>2.25771371075273</v>
      </c>
      <c r="K286" s="24" t="n">
        <f aca="false">IF(OR(K$277&lt;=Inputs!$C$9,$C$265="renew"),K284*(Inputs!$C$17*K279-K282*K278)/1000000,K284*K282*Inputs!$C$27/1000000)</f>
        <v>2.19506251936779</v>
      </c>
      <c r="L286" s="24" t="n">
        <f aca="false">IF(OR(L$277&lt;=Inputs!$C$9,$C$265="renew"),L284*(Inputs!$C$17*L279-L282*L278)/1000000,L284*L282*Inputs!$C$27/1000000)</f>
        <v>2.12846316751515</v>
      </c>
      <c r="M286" s="24" t="n">
        <f aca="false">IF(OR(M$277&lt;=Inputs!$C$9,$C$265="renew"),M284*(Inputs!$C$17*M279-M282*M278)/1000000,M284*M282*Inputs!$C$27/1000000)</f>
        <v>2.05776931356946</v>
      </c>
      <c r="N286" s="24" t="n">
        <f aca="false">IF(OR(N$277&lt;=Inputs!$C$9,$C$265="renew"),N284*(Inputs!$C$17*N279-N282*N278)/1000000,N284*N282*Inputs!$C$27/1000000)</f>
        <v>1.98283000461245</v>
      </c>
      <c r="O286" s="24" t="n">
        <f aca="false">IF(OR(O$277&lt;=Inputs!$C$9,$C$265="renew"),O284*(Inputs!$C$17*O279-O282*O278)/1000000,O284*O282*Inputs!$C$27/1000000)</f>
        <v>1.90348954209559</v>
      </c>
    </row>
    <row r="287" customFormat="false" ht="15" hidden="false" customHeight="false" outlineLevel="0" collapsed="false">
      <c r="B287" s="9" t="s">
        <v>151</v>
      </c>
      <c r="E287" s="24" t="n">
        <f aca="false">Inputs!$C$10*E280*IF(OR(E$277&lt;=Inputs!$C$9,$C$265="renew"),1,IF($C$265="retrofit",IF(E$277-Inputs!$C$9=1,Inputs!$C$48,1),IF($C$265="relet",Inputs!$C$54,Inputs!$C$56)))</f>
        <v>4.1</v>
      </c>
      <c r="F287" s="24" t="n">
        <f aca="false">Inputs!$C$10*F280*IF(OR(F$277&lt;=Inputs!$C$9,$C$265="renew"),1,IF($C$265="retrofit",IF(F$277-Inputs!$C$9=1,Inputs!$C$48,1),IF($C$265="relet",Inputs!$C$54,Inputs!$C$56)))</f>
        <v>4.223</v>
      </c>
      <c r="G287" s="24" t="n">
        <f aca="false">Inputs!$C$10*G280*IF(OR(G$277&lt;=Inputs!$C$9,$C$265="renew"),1,IF($C$265="retrofit",IF(G$277-Inputs!$C$9=1,Inputs!$C$48,1),IF($C$265="relet",Inputs!$C$54,Inputs!$C$56)))</f>
        <v>4.34969</v>
      </c>
      <c r="H287" s="24" t="n">
        <f aca="false">Inputs!$C$10*H280*IF(OR(H$277&lt;=Inputs!$C$9,$C$265="renew"),1,IF($C$265="retrofit",IF(H$277-Inputs!$C$9=1,Inputs!$C$48,1),IF($C$265="relet",Inputs!$C$54,Inputs!$C$56)))</f>
        <v>4.4801807</v>
      </c>
      <c r="I287" s="24" t="n">
        <f aca="false">Inputs!$C$10*I280*IF(OR(I$277&lt;=Inputs!$C$9,$C$265="renew"),1,IF($C$265="retrofit",IF(I$277-Inputs!$C$9=1,Inputs!$C$48,1),IF($C$265="relet",Inputs!$C$54,Inputs!$C$56)))</f>
        <v>4.614586121</v>
      </c>
      <c r="J287" s="24" t="n">
        <f aca="false">Inputs!$C$10*J280*IF(OR(J$277&lt;=Inputs!$C$9,$C$265="renew"),1,IF($C$265="retrofit",IF(J$277-Inputs!$C$9=1,Inputs!$C$48,1),IF($C$265="relet",Inputs!$C$54,Inputs!$C$56)))</f>
        <v>4.75302370463</v>
      </c>
      <c r="K287" s="24" t="n">
        <f aca="false">Inputs!$C$10*K280*IF(OR(K$277&lt;=Inputs!$C$9,$C$265="renew"),1,IF($C$265="retrofit",IF(K$277-Inputs!$C$9=1,Inputs!$C$48,1),IF($C$265="relet",Inputs!$C$54,Inputs!$C$56)))</f>
        <v>4.8956144157689</v>
      </c>
      <c r="L287" s="24" t="n">
        <f aca="false">Inputs!$C$10*L280*IF(OR(L$277&lt;=Inputs!$C$9,$C$265="renew"),1,IF($C$265="retrofit",IF(L$277-Inputs!$C$9=1,Inputs!$C$48,1),IF($C$265="relet",Inputs!$C$54,Inputs!$C$56)))</f>
        <v>5.04248284824197</v>
      </c>
      <c r="M287" s="24" t="n">
        <f aca="false">Inputs!$C$10*M280*IF(OR(M$277&lt;=Inputs!$C$9,$C$265="renew"),1,IF($C$265="retrofit",IF(M$277-Inputs!$C$9=1,Inputs!$C$48,1),IF($C$265="relet",Inputs!$C$54,Inputs!$C$56)))</f>
        <v>5.19375733368923</v>
      </c>
      <c r="N287" s="24" t="n">
        <f aca="false">Inputs!$C$10*N280*IF(OR(N$277&lt;=Inputs!$C$9,$C$265="renew"),1,IF($C$265="retrofit",IF(N$277-Inputs!$C$9=1,Inputs!$C$48,1),IF($C$265="relet",Inputs!$C$54,Inputs!$C$56)))</f>
        <v>5.3495700536999</v>
      </c>
      <c r="O287" s="24" t="n">
        <f aca="false">Inputs!$C$10*O280*IF(OR(O$277&lt;=Inputs!$C$9,$C$265="renew"),1,IF($C$265="retrofit",IF(O$277-Inputs!$C$9=1,Inputs!$C$48,1),IF($C$265="relet",Inputs!$C$54,Inputs!$C$56)))</f>
        <v>5.5100571553109</v>
      </c>
    </row>
    <row r="288" customFormat="false" ht="15" hidden="false" customHeight="false" outlineLevel="0" collapsed="false">
      <c r="B288" s="9" t="s">
        <v>152</v>
      </c>
      <c r="E288" s="24" t="n">
        <f aca="false">IF(E$277&gt;=$C$267,Inputs!$C$30*1000*Inputs!$C$34*12*(1+Inputs!$C$8)^(E$277-$C$267)/1000000*IF(AND(E$277=$C$267,$C$267&gt;Inputs!$C$33),1-MIN(12,Inputs!$C$35*($C$267-Inputs!$C$33)*12)/12,1),0)</f>
        <v>0</v>
      </c>
      <c r="F288" s="24" t="n">
        <f aca="false">IF(F$277&gt;=$C$267,Inputs!$C$30*1000*Inputs!$C$34*12*(1+Inputs!$C$8)^(F$277-$C$267)/1000000*IF(AND(F$277=$C$267,$C$267&gt;Inputs!$C$33),1-MIN(12,Inputs!$C$35*($C$267-Inputs!$C$33)*12)/12,1),0)</f>
        <v>0</v>
      </c>
      <c r="G288" s="24" t="n">
        <f aca="false">IF(G$277&gt;=$C$267,Inputs!$C$30*1000*Inputs!$C$34*12*(1+Inputs!$C$8)^(G$277-$C$267)/1000000*IF(AND(G$277=$C$267,$C$267&gt;Inputs!$C$33),1-MIN(12,Inputs!$C$35*($C$267-Inputs!$C$33)*12)/12,1),0)</f>
        <v>29.184</v>
      </c>
      <c r="H288" s="24" t="n">
        <f aca="false">IF(H$277&gt;=$C$267,Inputs!$C$30*1000*Inputs!$C$34*12*(1+Inputs!$C$8)^(H$277-$C$267)/1000000*IF(AND(H$277=$C$267,$C$267&gt;Inputs!$C$33),1-MIN(12,Inputs!$C$35*($C$267-Inputs!$C$33)*12)/12,1),0)</f>
        <v>29.76768</v>
      </c>
      <c r="I288" s="24" t="n">
        <f aca="false">IF(I$277&gt;=$C$267,Inputs!$C$30*1000*Inputs!$C$34*12*(1+Inputs!$C$8)^(I$277-$C$267)/1000000*IF(AND(I$277=$C$267,$C$267&gt;Inputs!$C$33),1-MIN(12,Inputs!$C$35*($C$267-Inputs!$C$33)*12)/12,1),0)</f>
        <v>30.3630336</v>
      </c>
      <c r="J288" s="24" t="n">
        <f aca="false">IF(J$277&gt;=$C$267,Inputs!$C$30*1000*Inputs!$C$34*12*(1+Inputs!$C$8)^(J$277-$C$267)/1000000*IF(AND(J$277=$C$267,$C$267&gt;Inputs!$C$33),1-MIN(12,Inputs!$C$35*($C$267-Inputs!$C$33)*12)/12,1),0)</f>
        <v>30.970294272</v>
      </c>
      <c r="K288" s="24" t="n">
        <f aca="false">IF(K$277&gt;=$C$267,Inputs!$C$30*1000*Inputs!$C$34*12*(1+Inputs!$C$8)^(K$277-$C$267)/1000000*IF(AND(K$277=$C$267,$C$267&gt;Inputs!$C$33),1-MIN(12,Inputs!$C$35*($C$267-Inputs!$C$33)*12)/12,1),0)</f>
        <v>31.58970015744</v>
      </c>
      <c r="L288" s="24" t="n">
        <f aca="false">IF(L$277&gt;=$C$267,Inputs!$C$30*1000*Inputs!$C$34*12*(1+Inputs!$C$8)^(L$277-$C$267)/1000000*IF(AND(L$277=$C$267,$C$267&gt;Inputs!$C$33),1-MIN(12,Inputs!$C$35*($C$267-Inputs!$C$33)*12)/12,1),0)</f>
        <v>32.2214941605888</v>
      </c>
      <c r="M288" s="24" t="n">
        <f aca="false">IF(M$277&gt;=$C$267,Inputs!$C$30*1000*Inputs!$C$34*12*(1+Inputs!$C$8)^(M$277-$C$267)/1000000*IF(AND(M$277=$C$267,$C$267&gt;Inputs!$C$33),1-MIN(12,Inputs!$C$35*($C$267-Inputs!$C$33)*12)/12,1),0)</f>
        <v>32.8659240438006</v>
      </c>
      <c r="N288" s="24" t="n">
        <f aca="false">IF(N$277&gt;=$C$267,Inputs!$C$30*1000*Inputs!$C$34*12*(1+Inputs!$C$8)^(N$277-$C$267)/1000000*IF(AND(N$277=$C$267,$C$267&gt;Inputs!$C$33),1-MIN(12,Inputs!$C$35*($C$267-Inputs!$C$33)*12)/12,1),0)</f>
        <v>33.5232425246766</v>
      </c>
      <c r="O288" s="24" t="n">
        <f aca="false">IF(O$277&gt;=$C$267,Inputs!$C$30*1000*Inputs!$C$34*12*(1+Inputs!$C$8)^(O$277-$C$267)/1000000*IF(AND(O$277=$C$267,$C$267&gt;Inputs!$C$33),1-MIN(12,Inputs!$C$35*($C$267-Inputs!$C$33)*12)/12,1),0)</f>
        <v>34.1937073751701</v>
      </c>
    </row>
    <row r="289" customFormat="false" ht="15" hidden="false" customHeight="false" outlineLevel="0" collapsed="false">
      <c r="B289" s="9" t="s">
        <v>153</v>
      </c>
      <c r="E289" s="28" t="n">
        <f aca="false">IF(E$277&gt;=$C$267,Inputs!$C$30*1000*Inputs!$C$16*8760/1000,0)</f>
        <v>0</v>
      </c>
      <c r="F289" s="28" t="n">
        <f aca="false">IF(F$277&gt;=$C$267,Inputs!$C$30*1000*Inputs!$C$16*8760/1000,0)</f>
        <v>0</v>
      </c>
      <c r="G289" s="28" t="n">
        <f aca="false">IF(G$277&gt;=$C$267,Inputs!$C$30*1000*Inputs!$C$16*8760/1000,0)</f>
        <v>112128</v>
      </c>
      <c r="H289" s="28" t="n">
        <f aca="false">IF(H$277&gt;=$C$267,Inputs!$C$30*1000*Inputs!$C$16*8760/1000,0)</f>
        <v>112128</v>
      </c>
      <c r="I289" s="28" t="n">
        <f aca="false">IF(I$277&gt;=$C$267,Inputs!$C$30*1000*Inputs!$C$16*8760/1000,0)</f>
        <v>112128</v>
      </c>
      <c r="J289" s="28" t="n">
        <f aca="false">IF(J$277&gt;=$C$267,Inputs!$C$30*1000*Inputs!$C$16*8760/1000,0)</f>
        <v>112128</v>
      </c>
      <c r="K289" s="28" t="n">
        <f aca="false">IF(K$277&gt;=$C$267,Inputs!$C$30*1000*Inputs!$C$16*8760/1000,0)</f>
        <v>112128</v>
      </c>
      <c r="L289" s="28" t="n">
        <f aca="false">IF(L$277&gt;=$C$267,Inputs!$C$30*1000*Inputs!$C$16*8760/1000,0)</f>
        <v>112128</v>
      </c>
      <c r="M289" s="28" t="n">
        <f aca="false">IF(M$277&gt;=$C$267,Inputs!$C$30*1000*Inputs!$C$16*8760/1000,0)</f>
        <v>112128</v>
      </c>
      <c r="N289" s="28" t="n">
        <f aca="false">IF(N$277&gt;=$C$267,Inputs!$C$30*1000*Inputs!$C$16*8760/1000,0)</f>
        <v>112128</v>
      </c>
      <c r="O289" s="28" t="n">
        <f aca="false">IF(O$277&gt;=$C$267,Inputs!$C$30*1000*Inputs!$C$16*8760/1000,0)</f>
        <v>112128</v>
      </c>
    </row>
    <row r="290" customFormat="false" ht="15" hidden="false" customHeight="false" outlineLevel="0" collapsed="false">
      <c r="B290" s="9" t="s">
        <v>154</v>
      </c>
      <c r="E290" s="24" t="n">
        <f aca="false">E289*Inputs!$C$37*Inputs!$C$27/1000000</f>
        <v>0</v>
      </c>
      <c r="F290" s="24" t="n">
        <f aca="false">F289*Inputs!$C$37*Inputs!$C$27/1000000</f>
        <v>0</v>
      </c>
      <c r="G290" s="24" t="n">
        <f aca="false">G289*Inputs!$C$37*Inputs!$C$27/1000000</f>
        <v>0.4036608</v>
      </c>
      <c r="H290" s="24" t="n">
        <f aca="false">H289*Inputs!$C$37*Inputs!$C$27/1000000</f>
        <v>0.4036608</v>
      </c>
      <c r="I290" s="24" t="n">
        <f aca="false">I289*Inputs!$C$37*Inputs!$C$27/1000000</f>
        <v>0.4036608</v>
      </c>
      <c r="J290" s="24" t="n">
        <f aca="false">J289*Inputs!$C$37*Inputs!$C$27/1000000</f>
        <v>0.4036608</v>
      </c>
      <c r="K290" s="24" t="n">
        <f aca="false">K289*Inputs!$C$37*Inputs!$C$27/1000000</f>
        <v>0.4036608</v>
      </c>
      <c r="L290" s="24" t="n">
        <f aca="false">L289*Inputs!$C$37*Inputs!$C$27/1000000</f>
        <v>0.4036608</v>
      </c>
      <c r="M290" s="24" t="n">
        <f aca="false">M289*Inputs!$C$37*Inputs!$C$27/1000000</f>
        <v>0.4036608</v>
      </c>
      <c r="N290" s="24" t="n">
        <f aca="false">N289*Inputs!$C$37*Inputs!$C$27/1000000</f>
        <v>0.4036608</v>
      </c>
      <c r="O290" s="24" t="n">
        <f aca="false">O289*Inputs!$C$37*Inputs!$C$27/1000000</f>
        <v>0.4036608</v>
      </c>
    </row>
    <row r="291" customFormat="false" ht="15" hidden="false" customHeight="false" outlineLevel="0" collapsed="false">
      <c r="B291" s="9" t="s">
        <v>155</v>
      </c>
      <c r="E291" s="24" t="n">
        <f aca="false">IF(E$277&gt;=$C$267,Inputs!$C$38*E280,0)</f>
        <v>0</v>
      </c>
      <c r="F291" s="24" t="n">
        <f aca="false">IF(F$277&gt;=$C$267,Inputs!$C$38*F280,0)</f>
        <v>0</v>
      </c>
      <c r="G291" s="24" t="n">
        <f aca="false">IF(G$277&gt;=$C$267,Inputs!$C$38*G280,0)</f>
        <v>1.69744</v>
      </c>
      <c r="H291" s="24" t="n">
        <f aca="false">IF(H$277&gt;=$C$267,Inputs!$C$38*H280,0)</f>
        <v>1.7483632</v>
      </c>
      <c r="I291" s="24" t="n">
        <f aca="false">IF(I$277&gt;=$C$267,Inputs!$C$38*I280,0)</f>
        <v>1.800814096</v>
      </c>
      <c r="J291" s="24" t="n">
        <f aca="false">IF(J$277&gt;=$C$267,Inputs!$C$38*J280,0)</f>
        <v>1.85483851888</v>
      </c>
      <c r="K291" s="24" t="n">
        <f aca="false">IF(K$277&gt;=$C$267,Inputs!$C$38*K280,0)</f>
        <v>1.9104836744464</v>
      </c>
      <c r="L291" s="24" t="n">
        <f aca="false">IF(L$277&gt;=$C$267,Inputs!$C$38*L280,0)</f>
        <v>1.96779818467979</v>
      </c>
      <c r="M291" s="24" t="n">
        <f aca="false">IF(M$277&gt;=$C$267,Inputs!$C$38*M280,0)</f>
        <v>2.02683213022019</v>
      </c>
      <c r="N291" s="24" t="n">
        <f aca="false">IF(N$277&gt;=$C$267,Inputs!$C$38*N280,0)</f>
        <v>2.08763709412679</v>
      </c>
      <c r="O291" s="24" t="n">
        <f aca="false">IF(O$277&gt;=$C$267,Inputs!$C$38*O280,0)</f>
        <v>2.1502662069506</v>
      </c>
    </row>
    <row r="292" customFormat="false" ht="15" hidden="false" customHeight="false" outlineLevel="0" collapsed="false">
      <c r="B292" s="9" t="s">
        <v>156</v>
      </c>
      <c r="E292" s="24" t="n">
        <f aca="false">Inputs!$C$12*(E285+E288)</f>
        <v>0.52992</v>
      </c>
      <c r="F292" s="24" t="n">
        <f aca="false">Inputs!$C$12*(F285+F288)</f>
        <v>0.5405184</v>
      </c>
      <c r="G292" s="24" t="n">
        <f aca="false">Inputs!$C$12*(G285+G288)</f>
        <v>0.843168768</v>
      </c>
      <c r="H292" s="24" t="n">
        <f aca="false">Inputs!$C$12*(H285+H288)</f>
        <v>0.86003214336</v>
      </c>
      <c r="I292" s="24" t="n">
        <f aca="false">Inputs!$C$12*(I285+I288)</f>
        <v>0.8772327862272</v>
      </c>
      <c r="J292" s="24" t="n">
        <f aca="false">Inputs!$C$12*(J285+J288)</f>
        <v>0.894777441951744</v>
      </c>
      <c r="K292" s="24" t="n">
        <f aca="false">Inputs!$C$12*(K285+K288)</f>
        <v>0.912672990790779</v>
      </c>
      <c r="L292" s="24" t="n">
        <f aca="false">Inputs!$C$12*(L285+L288)</f>
        <v>0.930926450606595</v>
      </c>
      <c r="M292" s="24" t="n">
        <f aca="false">Inputs!$C$12*(M285+M288)</f>
        <v>0.863980562845242</v>
      </c>
      <c r="N292" s="24" t="n">
        <f aca="false">Inputs!$C$12*(N285+N288)</f>
        <v>0.881260174102146</v>
      </c>
      <c r="O292" s="24" t="n">
        <f aca="false">Inputs!$C$12*(O285+O288)</f>
        <v>0.89888537758419</v>
      </c>
    </row>
    <row r="293" customFormat="false" ht="15" hidden="false" customHeight="false" outlineLevel="0" collapsed="false">
      <c r="B293" s="29" t="s">
        <v>157</v>
      </c>
      <c r="E293" s="30" t="n">
        <f aca="false">E285+E286+E288+E290-E287-E291-E292</f>
        <v>50.7840448</v>
      </c>
      <c r="F293" s="30" t="n">
        <f aca="false">F285+F286+F288+F290-F287-F291-F292</f>
        <v>52.141754944</v>
      </c>
      <c r="G293" s="30" t="n">
        <f aca="false">G285+G286+G288+G290-G287-G291-G292</f>
        <v>81.12377009088</v>
      </c>
      <c r="H293" s="30" t="n">
        <f aca="false">H285+H286+H288+H290-H287-H291-H292</f>
        <v>83.0607302246976</v>
      </c>
      <c r="I293" s="30" t="n">
        <f aca="false">I285+I286+I288+I290-I287-I291-I292</f>
        <v>83.1508650221916</v>
      </c>
      <c r="J293" s="30" t="n">
        <f aca="false">J285+J286+J288+J290-J287-J291-J292</f>
        <v>84.6364790404654</v>
      </c>
      <c r="K293" s="30" t="n">
        <f aca="false">K285+K286+K288+K290-K287-K291-K292</f>
        <v>86.1472513174396</v>
      </c>
      <c r="L293" s="30" t="n">
        <f aca="false">L285+L286+L288+L290-L287-L291-L292</f>
        <v>87.6835615446462</v>
      </c>
      <c r="M293" s="30" t="n">
        <f aca="false">M285+M286+M288+M290-M287-M291-M292</f>
        <v>80.774916371339</v>
      </c>
      <c r="N293" s="30" t="n">
        <f aca="false">N285+N286+N288+N290-N287-N291-N292</f>
        <v>82.1940408928982</v>
      </c>
      <c r="O293" s="30" t="n">
        <f aca="false">O285+O286+O288+O290-O287-O291-O292</f>
        <v>83.6364793606688</v>
      </c>
    </row>
    <row r="294" customFormat="false" ht="15" hidden="false" customHeight="false" outlineLevel="0" collapsed="false">
      <c r="B294" s="9" t="s">
        <v>158</v>
      </c>
      <c r="E294" s="24" t="n">
        <f aca="false">Inputs!$C$13*E280*IF(AND($C$265="stranded",E$277&gt;Inputs!$C$9),Inputs!$C$56,1)+IF(E$277&gt;=$C$267,Inputs!$C$39*E280,0)</f>
        <v>1.3</v>
      </c>
      <c r="F294" s="24" t="n">
        <f aca="false">Inputs!$C$13*F280*IF(AND($C$265="stranded",F$277&gt;Inputs!$C$9),Inputs!$C$56,1)+IF(F$277&gt;=$C$267,Inputs!$C$39*F280,0)</f>
        <v>1.339</v>
      </c>
      <c r="G294" s="24" t="n">
        <f aca="false">Inputs!$C$13*G280*IF(AND($C$265="stranded",G$277&gt;Inputs!$C$9),Inputs!$C$56,1)+IF(G$277&gt;=$C$267,Inputs!$C$39*G280,0)</f>
        <v>1.90962</v>
      </c>
      <c r="H294" s="24" t="n">
        <f aca="false">Inputs!$C$13*H280*IF(AND($C$265="stranded",H$277&gt;Inputs!$C$9),Inputs!$C$56,1)+IF(H$277&gt;=$C$267,Inputs!$C$39*H280,0)</f>
        <v>1.9669086</v>
      </c>
      <c r="I294" s="24" t="n">
        <f aca="false">Inputs!$C$13*I280*IF(AND($C$265="stranded",I$277&gt;Inputs!$C$9),Inputs!$C$56,1)+IF(I$277&gt;=$C$267,Inputs!$C$39*I280,0)</f>
        <v>2.025915858</v>
      </c>
      <c r="J294" s="24" t="n">
        <f aca="false">Inputs!$C$13*J280*IF(AND($C$265="stranded",J$277&gt;Inputs!$C$9),Inputs!$C$56,1)+IF(J$277&gt;=$C$267,Inputs!$C$39*J280,0)</f>
        <v>2.08669333374</v>
      </c>
      <c r="K294" s="24" t="n">
        <f aca="false">Inputs!$C$13*K280*IF(AND($C$265="stranded",K$277&gt;Inputs!$C$9),Inputs!$C$56,1)+IF(K$277&gt;=$C$267,Inputs!$C$39*K280,0)</f>
        <v>2.1492941337522</v>
      </c>
      <c r="L294" s="24" t="n">
        <f aca="false">Inputs!$C$13*L280*IF(AND($C$265="stranded",L$277&gt;Inputs!$C$9),Inputs!$C$56,1)+IF(L$277&gt;=$C$267,Inputs!$C$39*L280,0)</f>
        <v>2.21377295776477</v>
      </c>
      <c r="M294" s="24" t="n">
        <f aca="false">Inputs!$C$13*M280*IF(AND($C$265="stranded",M$277&gt;Inputs!$C$9),Inputs!$C$56,1)+IF(M$277&gt;=$C$267,Inputs!$C$39*M280,0)</f>
        <v>2.28018614649771</v>
      </c>
      <c r="N294" s="24" t="n">
        <f aca="false">Inputs!$C$13*N280*IF(AND($C$265="stranded",N$277&gt;Inputs!$C$9),Inputs!$C$56,1)+IF(N$277&gt;=$C$267,Inputs!$C$39*N280,0)</f>
        <v>2.34859173089264</v>
      </c>
      <c r="O294" s="24" t="n">
        <f aca="false">Inputs!$C$13*O280*IF(AND($C$265="stranded",O$277&gt;Inputs!$C$9),Inputs!$C$56,1)+IF(O$277&gt;=$C$267,Inputs!$C$39*O280,0)</f>
        <v>2.41904948281942</v>
      </c>
    </row>
    <row r="295" customFormat="false" ht="15" hidden="false" customHeight="false" outlineLevel="0" collapsed="false">
      <c r="B295" s="9" t="s">
        <v>159</v>
      </c>
      <c r="E295" s="24" t="n">
        <f aca="false">IF(OR(E$277=1,E$277=2),Inputs!$C$31*Inputs!$C$30/2,0)+IF(AND(E$277=2,$C$267&gt;Inputs!$C$33),Inputs!$C$31*Inputs!$C$30*Inputs!$C$36*($C$267-Inputs!$C$33),0)</f>
        <v>84</v>
      </c>
      <c r="F295" s="24" t="n">
        <f aca="false">IF(OR(F$277=1,F$277=2),Inputs!$C$31*Inputs!$C$30/2,0)+IF(AND(F$277=2,$C$267&gt;Inputs!$C$33),Inputs!$C$31*Inputs!$C$30*Inputs!$C$36*($C$267-Inputs!$C$33),0)</f>
        <v>84</v>
      </c>
      <c r="G295" s="24" t="n">
        <f aca="false">IF(OR(G$277=1,G$277=2),Inputs!$C$31*Inputs!$C$30/2,0)+IF(AND(G$277=2,$C$267&gt;Inputs!$C$33),Inputs!$C$31*Inputs!$C$30*Inputs!$C$36*($C$267-Inputs!$C$33),0)</f>
        <v>0</v>
      </c>
      <c r="H295" s="24" t="n">
        <f aca="false">IF(OR(H$277=1,H$277=2),Inputs!$C$31*Inputs!$C$30/2,0)+IF(AND(H$277=2,$C$267&gt;Inputs!$C$33),Inputs!$C$31*Inputs!$C$30*Inputs!$C$36*($C$267-Inputs!$C$33),0)</f>
        <v>0</v>
      </c>
      <c r="I295" s="24" t="n">
        <f aca="false">IF(OR(I$277=1,I$277=2),Inputs!$C$31*Inputs!$C$30/2,0)+IF(AND(I$277=2,$C$267&gt;Inputs!$C$33),Inputs!$C$31*Inputs!$C$30*Inputs!$C$36*($C$267-Inputs!$C$33),0)</f>
        <v>0</v>
      </c>
      <c r="J295" s="24" t="n">
        <f aca="false">IF(OR(J$277=1,J$277=2),Inputs!$C$31*Inputs!$C$30/2,0)+IF(AND(J$277=2,$C$267&gt;Inputs!$C$33),Inputs!$C$31*Inputs!$C$30*Inputs!$C$36*($C$267-Inputs!$C$33),0)</f>
        <v>0</v>
      </c>
      <c r="K295" s="24" t="n">
        <f aca="false">IF(OR(K$277=1,K$277=2),Inputs!$C$31*Inputs!$C$30/2,0)+IF(AND(K$277=2,$C$267&gt;Inputs!$C$33),Inputs!$C$31*Inputs!$C$30*Inputs!$C$36*($C$267-Inputs!$C$33),0)</f>
        <v>0</v>
      </c>
      <c r="L295" s="24" t="n">
        <f aca="false">IF(OR(L$277=1,L$277=2),Inputs!$C$31*Inputs!$C$30/2,0)+IF(AND(L$277=2,$C$267&gt;Inputs!$C$33),Inputs!$C$31*Inputs!$C$30*Inputs!$C$36*($C$267-Inputs!$C$33),0)</f>
        <v>0</v>
      </c>
      <c r="M295" s="24" t="n">
        <f aca="false">IF(OR(M$277=1,M$277=2),Inputs!$C$31*Inputs!$C$30/2,0)+IF(AND(M$277=2,$C$267&gt;Inputs!$C$33),Inputs!$C$31*Inputs!$C$30*Inputs!$C$36*($C$267-Inputs!$C$33),0)</f>
        <v>0</v>
      </c>
      <c r="N295" s="24" t="n">
        <f aca="false">IF(OR(N$277=1,N$277=2),Inputs!$C$31*Inputs!$C$30/2,0)+IF(AND(N$277=2,$C$267&gt;Inputs!$C$33),Inputs!$C$31*Inputs!$C$30*Inputs!$C$36*($C$267-Inputs!$C$33),0)</f>
        <v>0</v>
      </c>
      <c r="O295" s="24" t="n">
        <f aca="false">IF(OR(O$277=1,O$277=2),Inputs!$C$31*Inputs!$C$30/2,0)+IF(AND(O$277=2,$C$267&gt;Inputs!$C$33),Inputs!$C$31*Inputs!$C$30*Inputs!$C$36*($C$267-Inputs!$C$33),0)</f>
        <v>0</v>
      </c>
    </row>
    <row r="296" customFormat="false" ht="15" hidden="false" customHeight="false" outlineLevel="0" collapsed="false">
      <c r="B296" s="9" t="s">
        <v>160</v>
      </c>
      <c r="E296" s="24" t="n">
        <f aca="false">IF(E$277=Inputs!$C$9+1,Inputs!$C$6*IF($C$265="renew",Inputs!$C$44,IF($C$265="retrofit",Inputs!$C$45,IF($C$265="relet",Inputs!$C$55,0))),0)</f>
        <v>0</v>
      </c>
      <c r="F296" s="24" t="n">
        <f aca="false">IF(F$277=Inputs!$C$9+1,Inputs!$C$6*IF($C$265="renew",Inputs!$C$44,IF($C$265="retrofit",Inputs!$C$45,IF($C$265="relet",Inputs!$C$55,0))),0)</f>
        <v>0</v>
      </c>
      <c r="G296" s="24" t="n">
        <f aca="false">IF(G$277=Inputs!$C$9+1,Inputs!$C$6*IF($C$265="renew",Inputs!$C$44,IF($C$265="retrofit",Inputs!$C$45,IF($C$265="relet",Inputs!$C$55,0))),0)</f>
        <v>0</v>
      </c>
      <c r="H296" s="24" t="n">
        <f aca="false">IF(H$277=Inputs!$C$9+1,Inputs!$C$6*IF($C$265="renew",Inputs!$C$44,IF($C$265="retrofit",Inputs!$C$45,IF($C$265="relet",Inputs!$C$55,0))),0)</f>
        <v>0</v>
      </c>
      <c r="I296" s="24" t="n">
        <f aca="false">IF(I$277=Inputs!$C$9+1,Inputs!$C$6*IF($C$265="renew",Inputs!$C$44,IF($C$265="retrofit",Inputs!$C$45,IF($C$265="relet",Inputs!$C$55,0))),0)</f>
        <v>0</v>
      </c>
      <c r="J296" s="24" t="n">
        <f aca="false">IF(J$277=Inputs!$C$9+1,Inputs!$C$6*IF($C$265="renew",Inputs!$C$44,IF($C$265="retrofit",Inputs!$C$45,IF($C$265="relet",Inputs!$C$55,0))),0)</f>
        <v>0</v>
      </c>
      <c r="K296" s="24" t="n">
        <f aca="false">IF(K$277=Inputs!$C$9+1,Inputs!$C$6*IF($C$265="renew",Inputs!$C$44,IF($C$265="retrofit",Inputs!$C$45,IF($C$265="relet",Inputs!$C$55,0))),0)</f>
        <v>0</v>
      </c>
      <c r="L296" s="24" t="n">
        <f aca="false">IF(L$277=Inputs!$C$9+1,Inputs!$C$6*IF($C$265="renew",Inputs!$C$44,IF($C$265="retrofit",Inputs!$C$45,IF($C$265="relet",Inputs!$C$55,0))),0)</f>
        <v>0</v>
      </c>
      <c r="M296" s="24" t="n">
        <f aca="false">IF(M$277=Inputs!$C$9+1,Inputs!$C$6*IF($C$265="renew",Inputs!$C$44,IF($C$265="retrofit",Inputs!$C$45,IF($C$265="relet",Inputs!$C$55,0))),0)</f>
        <v>12.8</v>
      </c>
      <c r="N296" s="24" t="n">
        <f aca="false">IF(N$277=Inputs!$C$9+1,Inputs!$C$6*IF($C$265="renew",Inputs!$C$44,IF($C$265="retrofit",Inputs!$C$45,IF($C$265="relet",Inputs!$C$55,0))),0)</f>
        <v>0</v>
      </c>
      <c r="O296" s="24" t="n">
        <f aca="false">IF(O$277=Inputs!$C$9+1,Inputs!$C$6*IF($C$265="renew",Inputs!$C$44,IF($C$265="retrofit",Inputs!$C$45,IF($C$265="relet",Inputs!$C$55,0))),0)</f>
        <v>0</v>
      </c>
    </row>
    <row r="297" customFormat="false" ht="15" hidden="false" customHeight="false" outlineLevel="0" collapsed="false">
      <c r="B297" s="29" t="s">
        <v>161</v>
      </c>
      <c r="E297" s="30" t="n">
        <f aca="false">E293-E294-E295-E296</f>
        <v>-34.5159552</v>
      </c>
      <c r="F297" s="30" t="n">
        <f aca="false">F293-F294-F295-F296</f>
        <v>-33.197245056</v>
      </c>
      <c r="G297" s="30" t="n">
        <f aca="false">G293-G294-G295-G296</f>
        <v>79.21415009088</v>
      </c>
      <c r="H297" s="30" t="n">
        <f aca="false">H293-H294-H295-H296</f>
        <v>81.0938216246976</v>
      </c>
      <c r="I297" s="30" t="n">
        <f aca="false">I293-I294-I295-I296</f>
        <v>81.1249491641916</v>
      </c>
      <c r="J297" s="30" t="n">
        <f aca="false">J293-J294-J295-J296</f>
        <v>82.5497857067254</v>
      </c>
      <c r="K297" s="30" t="n">
        <f aca="false">K293-K294-K295-K296</f>
        <v>83.9979571836874</v>
      </c>
      <c r="L297" s="30" t="n">
        <f aca="false">L293-L294-L295-L296</f>
        <v>85.4697885868815</v>
      </c>
      <c r="M297" s="30" t="n">
        <f aca="false">M293-M294-M295-M296</f>
        <v>65.6947302248413</v>
      </c>
      <c r="N297" s="30" t="n">
        <f aca="false">N293-N294-N295-N296</f>
        <v>79.8454491620056</v>
      </c>
      <c r="O297" s="30" t="n">
        <f aca="false">O293-O294-O295-O296</f>
        <v>81.2174298778494</v>
      </c>
    </row>
    <row r="298" customFormat="false" ht="15" hidden="false" customHeight="false" outlineLevel="0" collapsed="false">
      <c r="B298" s="6" t="s">
        <v>162</v>
      </c>
    </row>
    <row r="300" customFormat="false" ht="15" hidden="false" customHeight="false" outlineLevel="0" collapsed="false">
      <c r="B300" s="9" t="s">
        <v>163</v>
      </c>
      <c r="C300" s="23" t="n">
        <f aca="false">IF($C$265="renew",Inputs!$C$67,IF($C$265="retrofit",Inputs!$C$68,IF($C$265="relet",Inputs!$C$69,Inputs!$C$70)))+$C$271</f>
        <v>0.0625</v>
      </c>
    </row>
    <row r="301" customFormat="false" ht="15" hidden="false" customHeight="false" outlineLevel="0" collapsed="false">
      <c r="B301" s="9" t="s">
        <v>164</v>
      </c>
      <c r="C301" s="24" t="n">
        <f aca="false">O288+O290-O291-Inputs!$C$12*O288</f>
        <v>32.1051648944678</v>
      </c>
    </row>
    <row r="302" customFormat="false" ht="15" hidden="false" customHeight="false" outlineLevel="0" collapsed="false">
      <c r="B302" s="9" t="s">
        <v>165</v>
      </c>
      <c r="C302" s="24" t="n">
        <f aca="false">O293-$C$301</f>
        <v>51.531314466201</v>
      </c>
    </row>
    <row r="303" customFormat="false" ht="15" hidden="false" customHeight="false" outlineLevel="0" collapsed="false">
      <c r="B303" s="9" t="s">
        <v>166</v>
      </c>
      <c r="C303" s="24" t="n">
        <f aca="false">IF($C$265="stranded",Inputs!$C$57*Inputs!$C$6-Inputs!$C$58,0)</f>
        <v>0</v>
      </c>
    </row>
    <row r="304" customFormat="false" ht="15" hidden="false" customHeight="false" outlineLevel="0" collapsed="false">
      <c r="B304" s="9" t="s">
        <v>167</v>
      </c>
      <c r="C304" s="24" t="n">
        <f aca="false">($C$301+$C$302)/$C$300+$C$303</f>
        <v>1338.1836697707</v>
      </c>
    </row>
    <row r="305" customFormat="false" ht="15" hidden="false" customHeight="false" outlineLevel="0" collapsed="false">
      <c r="B305" s="29" t="s">
        <v>168</v>
      </c>
      <c r="C305" s="30" t="n">
        <f aca="false">$C$304*(1-Inputs!$C$66)</f>
        <v>1318.11091472414</v>
      </c>
    </row>
    <row r="306" customFormat="false" ht="15" hidden="false" customHeight="false" outlineLevel="0" collapsed="false">
      <c r="B306" s="9" t="s">
        <v>169</v>
      </c>
      <c r="C306" s="24" t="n">
        <f aca="false">$C$275*(1+Inputs!$C$65)</f>
        <v>918</v>
      </c>
    </row>
    <row r="308" customFormat="false" ht="15" hidden="false" customHeight="false" outlineLevel="0" collapsed="false">
      <c r="B308" s="25" t="s">
        <v>170</v>
      </c>
      <c r="C308" s="26"/>
      <c r="D308" s="26" t="n">
        <v>0</v>
      </c>
      <c r="E308" s="26" t="n">
        <v>1</v>
      </c>
      <c r="F308" s="26" t="n">
        <v>2</v>
      </c>
      <c r="G308" s="26" t="n">
        <v>3</v>
      </c>
      <c r="H308" s="26" t="n">
        <v>4</v>
      </c>
      <c r="I308" s="26" t="n">
        <v>5</v>
      </c>
      <c r="J308" s="26" t="n">
        <v>6</v>
      </c>
      <c r="K308" s="26" t="n">
        <v>7</v>
      </c>
      <c r="L308" s="26" t="n">
        <v>8</v>
      </c>
      <c r="M308" s="26" t="n">
        <v>9</v>
      </c>
      <c r="N308" s="26" t="n">
        <v>10</v>
      </c>
    </row>
    <row r="309" customFormat="false" ht="15" hidden="false" customHeight="false" outlineLevel="0" collapsed="false">
      <c r="B309" s="29" t="s">
        <v>171</v>
      </c>
      <c r="D309" s="30" t="n">
        <f aca="false">-$C$306</f>
        <v>-918</v>
      </c>
      <c r="E309" s="30" t="n">
        <f aca="false">E297</f>
        <v>-34.5159552</v>
      </c>
      <c r="F309" s="30" t="n">
        <f aca="false">F297</f>
        <v>-33.197245056</v>
      </c>
      <c r="G309" s="30" t="n">
        <f aca="false">G297</f>
        <v>79.21415009088</v>
      </c>
      <c r="H309" s="30" t="n">
        <f aca="false">H297</f>
        <v>81.0938216246976</v>
      </c>
      <c r="I309" s="30" t="n">
        <f aca="false">I297</f>
        <v>81.1249491641916</v>
      </c>
      <c r="J309" s="30" t="n">
        <f aca="false">J297</f>
        <v>82.5497857067254</v>
      </c>
      <c r="K309" s="30" t="n">
        <f aca="false">K297</f>
        <v>83.9979571836874</v>
      </c>
      <c r="L309" s="30" t="n">
        <f aca="false">L297</f>
        <v>85.4697885868815</v>
      </c>
      <c r="M309" s="30" t="n">
        <f aca="false">M297</f>
        <v>65.6947302248413</v>
      </c>
      <c r="N309" s="30" t="n">
        <f aca="false">N297+$C$305</f>
        <v>1397.95636388615</v>
      </c>
    </row>
    <row r="310" customFormat="false" ht="15" hidden="false" customHeight="false" outlineLevel="0" collapsed="false">
      <c r="B310" s="29" t="s">
        <v>172</v>
      </c>
      <c r="C310" s="31" t="n">
        <f aca="false">IRR(D309:N309,0.08)</f>
        <v>0.0835091238436956</v>
      </c>
    </row>
    <row r="312" customFormat="false" ht="15" hidden="false" customHeight="false" outlineLevel="0" collapsed="false">
      <c r="B312" s="9" t="s">
        <v>180</v>
      </c>
      <c r="C312" s="24" t="n">
        <f aca="false">Inputs!$C$77*$C$275</f>
        <v>495</v>
      </c>
    </row>
    <row r="313" customFormat="false" ht="15" hidden="false" customHeight="false" outlineLevel="0" collapsed="false">
      <c r="B313" s="9" t="s">
        <v>181</v>
      </c>
      <c r="C313" s="24" t="n">
        <f aca="false">$C$312*Inputs!$C$78/(1-(1+Inputs!$C$78)^(-Inputs!$C$80))</f>
        <v>38.7222255150756</v>
      </c>
    </row>
    <row r="314" customFormat="false" ht="15" hidden="false" customHeight="false" outlineLevel="0" collapsed="false">
      <c r="B314" s="9" t="s">
        <v>182</v>
      </c>
      <c r="C314" s="24" t="n">
        <f aca="false">$C$312*(1+Inputs!$C$78)^(Inputs!$C$81-Inputs!$C$79)-$C$313*((1+Inputs!$C$78)^(Inputs!$C$81-Inputs!$C$79)-1)/Inputs!$C$78</f>
        <v>444.140876065435</v>
      </c>
    </row>
    <row r="315" customFormat="false" ht="15" hidden="false" customHeight="false" outlineLevel="0" collapsed="false">
      <c r="B315" s="9" t="s">
        <v>183</v>
      </c>
      <c r="C315" s="20" t="n">
        <f aca="false">IF($C$265="renew",1,0)</f>
        <v>1</v>
      </c>
    </row>
    <row r="316" customFormat="false" ht="15" hidden="false" customHeight="false" outlineLevel="0" collapsed="false">
      <c r="B316" s="9" t="s">
        <v>184</v>
      </c>
      <c r="C316" s="20" t="n">
        <f aca="false">IF($C$315=1,Inputs!$C$86,Inputs!$C$87)</f>
        <v>20</v>
      </c>
    </row>
    <row r="317" customFormat="false" ht="15" hidden="false" customHeight="false" outlineLevel="0" collapsed="false">
      <c r="B317" s="9" t="s">
        <v>185</v>
      </c>
      <c r="C317" s="24" t="n">
        <f aca="false">IF($C$315=1,INDEX($E$293:$O$293,(Inputs!$C$81+1))-INDEX($E$294:$O$294,(Inputs!$C$81+1)),INDEX($E$288:$O$288,(Inputs!$C$81+1))+INDEX($E$290:$O$290,(Inputs!$C$81+1))-INDEX($E$291:$O$291,(Inputs!$C$81+1))-Inputs!$C$12*INDEX($E$288:$O$288,(Inputs!$C$81+1))-Inputs!$C$39*(1+Inputs!$C$11)^((Inputs!$C$81+1)-1))</f>
        <v>85.4697885868815</v>
      </c>
    </row>
    <row r="318" customFormat="false" ht="15" hidden="false" customHeight="false" outlineLevel="0" collapsed="false">
      <c r="B318" s="9" t="s">
        <v>186</v>
      </c>
      <c r="C318" s="24" t="n">
        <f aca="false">$C$317/Inputs!$C$84</f>
        <v>61.0498489906296</v>
      </c>
    </row>
    <row r="319" customFormat="false" ht="15" hidden="false" customHeight="false" outlineLevel="0" collapsed="false">
      <c r="B319" s="9" t="s">
        <v>187</v>
      </c>
      <c r="C319" s="24" t="n">
        <f aca="false">$C$318*(1-(1+Inputs!$C$83)^(-$C$316))/Inputs!$C$83</f>
        <v>672.678203553656</v>
      </c>
    </row>
    <row r="320" customFormat="false" ht="15" hidden="false" customHeight="false" outlineLevel="0" collapsed="false">
      <c r="B320" s="9" t="s">
        <v>188</v>
      </c>
      <c r="C320" s="24" t="n">
        <f aca="false">$C$317/$C$300</f>
        <v>1367.5166173901</v>
      </c>
    </row>
    <row r="321" customFormat="false" ht="15" hidden="false" customHeight="false" outlineLevel="0" collapsed="false">
      <c r="B321" s="9" t="s">
        <v>189</v>
      </c>
      <c r="C321" s="24" t="n">
        <f aca="false">Inputs!$C$85*$C$320</f>
        <v>752.134139564557</v>
      </c>
    </row>
    <row r="322" customFormat="false" ht="15" hidden="false" customHeight="false" outlineLevel="0" collapsed="false">
      <c r="B322" s="29" t="s">
        <v>190</v>
      </c>
      <c r="C322" s="30" t="n">
        <f aca="false">MIN($C$319,$C$321)</f>
        <v>672.678203553656</v>
      </c>
    </row>
    <row r="323" customFormat="false" ht="15" hidden="false" customHeight="false" outlineLevel="0" collapsed="false">
      <c r="B323" s="29" t="s">
        <v>191</v>
      </c>
      <c r="C323" s="30" t="n">
        <f aca="false">$C$322*(1-Inputs!$C$82)-$C$314</f>
        <v>221.810545452684</v>
      </c>
    </row>
    <row r="324" customFormat="false" ht="15" hidden="false" customHeight="false" outlineLevel="0" collapsed="false">
      <c r="B324" s="9" t="s">
        <v>192</v>
      </c>
      <c r="C324" s="24" t="n">
        <f aca="false">$C$322*Inputs!$C$83/(1-(1+Inputs!$C$83)^(-$C$316))</f>
        <v>61.0498489906296</v>
      </c>
    </row>
    <row r="326" customFormat="false" ht="15" hidden="false" customHeight="false" outlineLevel="0" collapsed="false">
      <c r="B326" s="25" t="s">
        <v>193</v>
      </c>
      <c r="C326" s="26"/>
      <c r="D326" s="26" t="n">
        <v>0</v>
      </c>
      <c r="E326" s="26" t="n">
        <v>1</v>
      </c>
      <c r="F326" s="26" t="n">
        <v>2</v>
      </c>
      <c r="G326" s="26" t="n">
        <v>3</v>
      </c>
      <c r="H326" s="26" t="n">
        <v>4</v>
      </c>
      <c r="I326" s="26" t="n">
        <v>5</v>
      </c>
      <c r="J326" s="26" t="n">
        <v>6</v>
      </c>
      <c r="K326" s="26" t="n">
        <v>7</v>
      </c>
      <c r="L326" s="26" t="n">
        <v>8</v>
      </c>
      <c r="M326" s="26" t="n">
        <v>9</v>
      </c>
      <c r="N326" s="26" t="n">
        <v>10</v>
      </c>
    </row>
    <row r="327" customFormat="false" ht="15" hidden="false" customHeight="false" outlineLevel="0" collapsed="false">
      <c r="B327" s="9" t="s">
        <v>194</v>
      </c>
      <c r="E327" s="24" t="n">
        <f aca="false">$C$312</f>
        <v>495</v>
      </c>
      <c r="F327" s="24" t="n">
        <f aca="false">IF(F$326=Inputs!$C$81+1,$C$322,E331)</f>
        <v>495</v>
      </c>
      <c r="G327" s="24" t="n">
        <f aca="false">IF(G$326=Inputs!$C$81+1,$C$322,F331)</f>
        <v>495</v>
      </c>
      <c r="H327" s="24" t="n">
        <f aca="false">IF(H$326=Inputs!$C$81+1,$C$322,G331)</f>
        <v>485.977774484924</v>
      </c>
      <c r="I327" s="24" t="n">
        <f aca="false">IF(I$326=Inputs!$C$81+1,$C$322,H331)</f>
        <v>476.414215438944</v>
      </c>
      <c r="J327" s="24" t="n">
        <f aca="false">IF(J$326=Inputs!$C$81+1,$C$322,I331)</f>
        <v>466.276842850205</v>
      </c>
      <c r="K327" s="24" t="n">
        <f aca="false">IF(K$326=Inputs!$C$81+1,$C$322,J331)</f>
        <v>455.531227906142</v>
      </c>
      <c r="L327" s="24" t="n">
        <f aca="false">IF(L$326=Inputs!$C$81+1,$C$322,K331)</f>
        <v>672.678203553656</v>
      </c>
      <c r="M327" s="24" t="n">
        <f aca="false">IF(M$326=Inputs!$C$81+1,$C$322,L331)</f>
        <v>655.352437794014</v>
      </c>
      <c r="N327" s="24" t="n">
        <f aca="false">IF(N$326=Inputs!$C$81+1,$C$322,M331)</f>
        <v>636.900497259995</v>
      </c>
    </row>
    <row r="328" customFormat="false" ht="15" hidden="false" customHeight="false" outlineLevel="0" collapsed="false">
      <c r="B328" s="9" t="s">
        <v>195</v>
      </c>
      <c r="E328" s="23" t="n">
        <f aca="false">IF(E$326&lt;=Inputs!$C$81,Inputs!$C$78,Inputs!$C$83)</f>
        <v>0.06</v>
      </c>
      <c r="F328" s="23" t="n">
        <f aca="false">IF(F$326&lt;=Inputs!$C$81,Inputs!$C$78,Inputs!$C$83)</f>
        <v>0.06</v>
      </c>
      <c r="G328" s="23" t="n">
        <f aca="false">IF(G$326&lt;=Inputs!$C$81,Inputs!$C$78,Inputs!$C$83)</f>
        <v>0.06</v>
      </c>
      <c r="H328" s="23" t="n">
        <f aca="false">IF(H$326&lt;=Inputs!$C$81,Inputs!$C$78,Inputs!$C$83)</f>
        <v>0.06</v>
      </c>
      <c r="I328" s="23" t="n">
        <f aca="false">IF(I$326&lt;=Inputs!$C$81,Inputs!$C$78,Inputs!$C$83)</f>
        <v>0.06</v>
      </c>
      <c r="J328" s="23" t="n">
        <f aca="false">IF(J$326&lt;=Inputs!$C$81,Inputs!$C$78,Inputs!$C$83)</f>
        <v>0.06</v>
      </c>
      <c r="K328" s="23" t="n">
        <f aca="false">IF(K$326&lt;=Inputs!$C$81,Inputs!$C$78,Inputs!$C$83)</f>
        <v>0.06</v>
      </c>
      <c r="L328" s="23" t="n">
        <f aca="false">IF(L$326&lt;=Inputs!$C$81,Inputs!$C$78,Inputs!$C$83)</f>
        <v>0.065</v>
      </c>
      <c r="M328" s="23" t="n">
        <f aca="false">IF(M$326&lt;=Inputs!$C$81,Inputs!$C$78,Inputs!$C$83)</f>
        <v>0.065</v>
      </c>
      <c r="N328" s="23" t="n">
        <f aca="false">IF(N$326&lt;=Inputs!$C$81,Inputs!$C$78,Inputs!$C$83)</f>
        <v>0.065</v>
      </c>
    </row>
    <row r="329" customFormat="false" ht="15" hidden="false" customHeight="false" outlineLevel="0" collapsed="false">
      <c r="B329" s="9" t="s">
        <v>196</v>
      </c>
      <c r="E329" s="24" t="n">
        <f aca="false">E327*E328</f>
        <v>29.7</v>
      </c>
      <c r="F329" s="24" t="n">
        <f aca="false">F327*F328</f>
        <v>29.7</v>
      </c>
      <c r="G329" s="24" t="n">
        <f aca="false">G327*G328</f>
        <v>29.7</v>
      </c>
      <c r="H329" s="24" t="n">
        <f aca="false">H327*H328</f>
        <v>29.1586664690955</v>
      </c>
      <c r="I329" s="24" t="n">
        <f aca="false">I327*I328</f>
        <v>28.5848529263367</v>
      </c>
      <c r="J329" s="24" t="n">
        <f aca="false">J327*J328</f>
        <v>27.9766105710123</v>
      </c>
      <c r="K329" s="24" t="n">
        <f aca="false">K327*K328</f>
        <v>27.3318736743685</v>
      </c>
      <c r="L329" s="24" t="n">
        <f aca="false">L327*L328</f>
        <v>43.7240832309876</v>
      </c>
      <c r="M329" s="24" t="n">
        <f aca="false">M327*M328</f>
        <v>42.5979084566109</v>
      </c>
      <c r="N329" s="24" t="n">
        <f aca="false">N327*N328</f>
        <v>41.3985323218997</v>
      </c>
    </row>
    <row r="330" customFormat="false" ht="15" hidden="false" customHeight="false" outlineLevel="0" collapsed="false">
      <c r="B330" s="9" t="s">
        <v>197</v>
      </c>
      <c r="E330" s="24" t="n">
        <f aca="false">IF(E$326&lt;=Inputs!$C$81,IF(E$326&lt;=Inputs!$C$79,0,$C$313-E329),$C$324-E329)</f>
        <v>0</v>
      </c>
      <c r="F330" s="24" t="n">
        <f aca="false">IF(F$326&lt;=Inputs!$C$81,IF(F$326&lt;=Inputs!$C$79,0,$C$313-F329),$C$324-F329)</f>
        <v>0</v>
      </c>
      <c r="G330" s="24" t="n">
        <f aca="false">IF(G$326&lt;=Inputs!$C$81,IF(G$326&lt;=Inputs!$C$79,0,$C$313-G329),$C$324-G329)</f>
        <v>9.0222255150756</v>
      </c>
      <c r="H330" s="24" t="n">
        <f aca="false">IF(H$326&lt;=Inputs!$C$81,IF(H$326&lt;=Inputs!$C$79,0,$C$313-H329),$C$324-H329)</f>
        <v>9.56355904598014</v>
      </c>
      <c r="I330" s="24" t="n">
        <f aca="false">IF(I$326&lt;=Inputs!$C$81,IF(I$326&lt;=Inputs!$C$79,0,$C$313-I329),$C$324-I329)</f>
        <v>10.1373725887389</v>
      </c>
      <c r="J330" s="24" t="n">
        <f aca="false">IF(J$326&lt;=Inputs!$C$81,IF(J$326&lt;=Inputs!$C$79,0,$C$313-J329),$C$324-J329)</f>
        <v>10.7456149440633</v>
      </c>
      <c r="K330" s="24" t="n">
        <f aca="false">IF(K$326&lt;=Inputs!$C$81,IF(K$326&lt;=Inputs!$C$79,0,$C$313-K329),$C$324-K329)</f>
        <v>11.3903518407071</v>
      </c>
      <c r="L330" s="24" t="n">
        <f aca="false">IF(L$326&lt;=Inputs!$C$81,IF(L$326&lt;=Inputs!$C$79,0,$C$313-L329),$C$324-L329)</f>
        <v>17.325765759642</v>
      </c>
      <c r="M330" s="24" t="n">
        <f aca="false">IF(M$326&lt;=Inputs!$C$81,IF(M$326&lt;=Inputs!$C$79,0,$C$313-M329),$C$324-M329)</f>
        <v>18.4519405340187</v>
      </c>
      <c r="N330" s="24" t="n">
        <f aca="false">IF(N$326&lt;=Inputs!$C$81,IF(N$326&lt;=Inputs!$C$79,0,$C$313-N329),$C$324-N329)</f>
        <v>19.65131666873</v>
      </c>
    </row>
    <row r="331" customFormat="false" ht="15" hidden="false" customHeight="false" outlineLevel="0" collapsed="false">
      <c r="B331" s="29" t="s">
        <v>198</v>
      </c>
      <c r="E331" s="30" t="n">
        <f aca="false">E327-E330</f>
        <v>495</v>
      </c>
      <c r="F331" s="30" t="n">
        <f aca="false">F327-F330</f>
        <v>495</v>
      </c>
      <c r="G331" s="30" t="n">
        <f aca="false">G327-G330</f>
        <v>485.977774484924</v>
      </c>
      <c r="H331" s="30" t="n">
        <f aca="false">H327-H330</f>
        <v>476.414215438944</v>
      </c>
      <c r="I331" s="30" t="n">
        <f aca="false">I327-I330</f>
        <v>466.276842850205</v>
      </c>
      <c r="J331" s="30" t="n">
        <f aca="false">J327-J330</f>
        <v>455.531227906142</v>
      </c>
      <c r="K331" s="30" t="n">
        <f aca="false">K327-K330</f>
        <v>444.140876065435</v>
      </c>
      <c r="L331" s="30" t="n">
        <f aca="false">L327-L330</f>
        <v>655.352437794014</v>
      </c>
      <c r="M331" s="30" t="n">
        <f aca="false">M327-M330</f>
        <v>636.900497259995</v>
      </c>
      <c r="N331" s="30" t="n">
        <f aca="false">N327-N330</f>
        <v>617.249180591265</v>
      </c>
    </row>
    <row r="332" customFormat="false" ht="15" hidden="false" customHeight="false" outlineLevel="0" collapsed="false">
      <c r="B332" s="9" t="s">
        <v>199</v>
      </c>
      <c r="E332" s="24" t="n">
        <f aca="false">E329+E330</f>
        <v>29.7</v>
      </c>
      <c r="F332" s="24" t="n">
        <f aca="false">F329+F330</f>
        <v>29.7</v>
      </c>
      <c r="G332" s="24" t="n">
        <f aca="false">G329+G330</f>
        <v>38.7222255150756</v>
      </c>
      <c r="H332" s="24" t="n">
        <f aca="false">H329+H330</f>
        <v>38.7222255150756</v>
      </c>
      <c r="I332" s="24" t="n">
        <f aca="false">I329+I330</f>
        <v>38.7222255150756</v>
      </c>
      <c r="J332" s="24" t="n">
        <f aca="false">J329+J330</f>
        <v>38.7222255150756</v>
      </c>
      <c r="K332" s="24" t="n">
        <f aca="false">K329+K330</f>
        <v>38.7222255150756</v>
      </c>
      <c r="L332" s="24" t="n">
        <f aca="false">L329+L330</f>
        <v>61.0498489906296</v>
      </c>
      <c r="M332" s="24" t="n">
        <f aca="false">M329+M330</f>
        <v>61.0498489906296</v>
      </c>
      <c r="N332" s="24" t="n">
        <f aca="false">N329+N330</f>
        <v>61.0498489906296</v>
      </c>
    </row>
    <row r="333" customFormat="false" ht="15" hidden="false" customHeight="false" outlineLevel="0" collapsed="false">
      <c r="B333" s="9" t="s">
        <v>200</v>
      </c>
      <c r="E333" s="22" t="n">
        <f aca="false">(E293-E294)/E332</f>
        <v>1.66612945454545</v>
      </c>
      <c r="F333" s="22" t="n">
        <f aca="false">(F293-F294)/F332</f>
        <v>1.71053046949495</v>
      </c>
      <c r="G333" s="22" t="n">
        <f aca="false">(G293-G294)/G332</f>
        <v>2.04570241088131</v>
      </c>
      <c r="H333" s="22" t="n">
        <f aca="false">(H293-H294)/H332</f>
        <v>2.09424485669414</v>
      </c>
      <c r="I333" s="22" t="n">
        <f aca="false">(I293-I294)/I332</f>
        <v>2.09504872421673</v>
      </c>
      <c r="J333" s="22" t="n">
        <f aca="false">(J293-J294)/J332</f>
        <v>2.13184507369254</v>
      </c>
      <c r="K333" s="22" t="n">
        <f aca="false">(K293-K294)/K332</f>
        <v>2.16924404696173</v>
      </c>
      <c r="L333" s="22" t="n">
        <f aca="false">(L293-L294)/L332</f>
        <v>1.4</v>
      </c>
      <c r="M333" s="22" t="n">
        <f aca="false">(M293-M294)/M332</f>
        <v>1.28574814717214</v>
      </c>
      <c r="N333" s="22" t="n">
        <f aca="false">(N293-N294)/N332</f>
        <v>1.30787300021431</v>
      </c>
    </row>
    <row r="334" customFormat="false" ht="15" hidden="false" customHeight="false" outlineLevel="0" collapsed="false">
      <c r="B334" s="29" t="s">
        <v>201</v>
      </c>
      <c r="C334" s="32" t="n">
        <f aca="false">MIN(I333:K333)</f>
        <v>2.09504872421673</v>
      </c>
    </row>
    <row r="336" customFormat="false" ht="15" hidden="false" customHeight="false" outlineLevel="0" collapsed="false">
      <c r="B336" s="25" t="s">
        <v>202</v>
      </c>
      <c r="C336" s="26"/>
      <c r="D336" s="26" t="n">
        <v>0</v>
      </c>
      <c r="E336" s="26" t="n">
        <v>1</v>
      </c>
      <c r="F336" s="26" t="n">
        <v>2</v>
      </c>
      <c r="G336" s="26" t="n">
        <v>3</v>
      </c>
      <c r="H336" s="26" t="n">
        <v>4</v>
      </c>
      <c r="I336" s="26" t="n">
        <v>5</v>
      </c>
      <c r="J336" s="26" t="n">
        <v>6</v>
      </c>
      <c r="K336" s="26" t="n">
        <v>7</v>
      </c>
      <c r="L336" s="26" t="n">
        <v>8</v>
      </c>
      <c r="M336" s="26" t="n">
        <v>9</v>
      </c>
      <c r="N336" s="26" t="n">
        <v>10</v>
      </c>
    </row>
    <row r="337" customFormat="false" ht="15" hidden="false" customHeight="false" outlineLevel="0" collapsed="false">
      <c r="B337" s="9" t="s">
        <v>203</v>
      </c>
      <c r="D337" s="24" t="n">
        <f aca="false">$C$312*(1-Inputs!$C$82)</f>
        <v>490.05</v>
      </c>
      <c r="E337" s="24" t="n">
        <f aca="false">-E332+IF(E$326=Inputs!$C$81,$C$323,0)</f>
        <v>-29.7</v>
      </c>
      <c r="F337" s="24" t="n">
        <f aca="false">-F332+IF(F$326=Inputs!$C$81,$C$323,0)</f>
        <v>-29.7</v>
      </c>
      <c r="G337" s="24" t="n">
        <f aca="false">-G332+IF(G$326=Inputs!$C$81,$C$323,0)</f>
        <v>-38.7222255150756</v>
      </c>
      <c r="H337" s="24" t="n">
        <f aca="false">-H332+IF(H$326=Inputs!$C$81,$C$323,0)</f>
        <v>-38.7222255150756</v>
      </c>
      <c r="I337" s="24" t="n">
        <f aca="false">-I332+IF(I$326=Inputs!$C$81,$C$323,0)</f>
        <v>-38.7222255150756</v>
      </c>
      <c r="J337" s="24" t="n">
        <f aca="false">-J332+IF(J$326=Inputs!$C$81,$C$323,0)</f>
        <v>-38.7222255150756</v>
      </c>
      <c r="K337" s="24" t="n">
        <f aca="false">-K332+IF(K$326=Inputs!$C$81,$C$323,0)</f>
        <v>183.088319937608</v>
      </c>
      <c r="L337" s="24" t="n">
        <f aca="false">-L332+IF(L$326=Inputs!$C$81,$C$323,0)</f>
        <v>-61.0498489906296</v>
      </c>
      <c r="M337" s="24" t="n">
        <f aca="false">-M332+IF(M$326=Inputs!$C$81,$C$323,0)</f>
        <v>-61.0498489906296</v>
      </c>
      <c r="N337" s="24" t="n">
        <f aca="false">-N332+IF(N$326=Inputs!$C$81,$C$323,0)-N331</f>
        <v>-678.299029581895</v>
      </c>
    </row>
    <row r="338" customFormat="false" ht="15" hidden="false" customHeight="false" outlineLevel="0" collapsed="false">
      <c r="B338" s="29" t="s">
        <v>202</v>
      </c>
      <c r="D338" s="30" t="n">
        <f aca="false">D309+D337</f>
        <v>-427.95</v>
      </c>
      <c r="E338" s="30" t="n">
        <f aca="false">E309+E337</f>
        <v>-64.2159552</v>
      </c>
      <c r="F338" s="30" t="n">
        <f aca="false">F309+F337</f>
        <v>-62.897245056</v>
      </c>
      <c r="G338" s="30" t="n">
        <f aca="false">G309+G337</f>
        <v>40.4919245758044</v>
      </c>
      <c r="H338" s="30" t="n">
        <f aca="false">H309+H337</f>
        <v>42.371596109622</v>
      </c>
      <c r="I338" s="30" t="n">
        <f aca="false">I309+I337</f>
        <v>42.4027236491159</v>
      </c>
      <c r="J338" s="30" t="n">
        <f aca="false">J309+J337</f>
        <v>43.8275601916498</v>
      </c>
      <c r="K338" s="30" t="n">
        <f aca="false">K309+K337</f>
        <v>267.086277121296</v>
      </c>
      <c r="L338" s="30" t="n">
        <f aca="false">L309+L337</f>
        <v>24.4199395962519</v>
      </c>
      <c r="M338" s="30" t="n">
        <f aca="false">M309+M337</f>
        <v>4.64488123421162</v>
      </c>
      <c r="N338" s="30" t="n">
        <f aca="false">N309+N337</f>
        <v>719.657334304252</v>
      </c>
    </row>
    <row r="339" customFormat="false" ht="15" hidden="false" customHeight="false" outlineLevel="0" collapsed="false">
      <c r="B339" s="29" t="s">
        <v>204</v>
      </c>
      <c r="C339" s="31" t="n">
        <f aca="false">IRR(D338:N338,0.08)</f>
        <v>0.1</v>
      </c>
    </row>
    <row r="340" customFormat="false" ht="15" hidden="false" customHeight="false" outlineLevel="0" collapsed="false">
      <c r="B340" s="9" t="s">
        <v>205</v>
      </c>
      <c r="C340" s="33" t="n">
        <f aca="false">SUMIF(D338:N338,"&gt;0")/-SUMIF(D338:N338,"&lt;0")</f>
        <v>2.13471589583982</v>
      </c>
    </row>
    <row r="341" customFormat="false" ht="15" hidden="false" customHeight="false" outlineLevel="0" collapsed="false">
      <c r="B341" s="9" t="s">
        <v>206</v>
      </c>
      <c r="C341" s="24" t="n">
        <f aca="false">-D338</f>
        <v>427.95</v>
      </c>
    </row>
    <row r="343" customFormat="false" ht="15" hidden="false" customHeight="false" outlineLevel="0" collapsed="false">
      <c r="B343" s="29" t="s">
        <v>268</v>
      </c>
      <c r="C343" s="31" t="n">
        <f aca="false">Inputs!$C$97</f>
        <v>0.1</v>
      </c>
    </row>
    <row r="344" customFormat="false" ht="15" hidden="false" customHeight="false" outlineLevel="0" collapsed="false">
      <c r="B344" s="29" t="s">
        <v>269</v>
      </c>
      <c r="C344" s="31" t="n">
        <f aca="false">Thresholds!$C$339</f>
        <v>0.1</v>
      </c>
    </row>
    <row r="345" customFormat="false" ht="15" hidden="false" customHeight="false" outlineLevel="0" collapsed="false">
      <c r="B345" s="29" t="s">
        <v>264</v>
      </c>
      <c r="C345" s="37" t="n">
        <f aca="false">C344-C343</f>
        <v>0</v>
      </c>
    </row>
    <row r="346" customFormat="false" ht="15" hidden="false" customHeight="false" outlineLevel="0" collapsed="false">
      <c r="B346" s="29" t="s">
        <v>265</v>
      </c>
      <c r="C346" s="38" t="str">
        <f aca="false">IF(ABS(C345)&lt;=0.000001,"OK","FAIL")</f>
        <v>OK</v>
      </c>
    </row>
    <row r="349" customFormat="false" ht="15" hidden="false" customHeight="false" outlineLevel="0" collapsed="false">
      <c r="B349" s="7" t="s">
        <v>276</v>
      </c>
      <c r="C349" s="8"/>
      <c r="D349" s="8"/>
      <c r="E349" s="8"/>
      <c r="F349" s="8"/>
      <c r="G349" s="8"/>
      <c r="H349" s="8"/>
      <c r="I349" s="8"/>
      <c r="J349" s="8"/>
      <c r="K349" s="8"/>
      <c r="L349" s="8"/>
      <c r="M349" s="8"/>
      <c r="N349" s="8"/>
      <c r="O349" s="8"/>
    </row>
    <row r="350" customFormat="false" ht="15" hidden="false" customHeight="false" outlineLevel="0" collapsed="false">
      <c r="B350" s="29" t="s">
        <v>277</v>
      </c>
      <c r="C350" s="40" t="n">
        <v>246.160386087976</v>
      </c>
      <c r="D350" s="6" t="s">
        <v>261</v>
      </c>
    </row>
    <row r="351" customFormat="false" ht="15" hidden="false" customHeight="false" outlineLevel="0" collapsed="false">
      <c r="B351" s="9" t="s">
        <v>130</v>
      </c>
      <c r="C351" s="16" t="s">
        <v>224</v>
      </c>
    </row>
    <row r="352" customFormat="false" ht="15" hidden="false" customHeight="false" outlineLevel="0" collapsed="false">
      <c r="B352" s="9" t="s">
        <v>131</v>
      </c>
      <c r="C352" s="19" t="n">
        <f aca="false">Inputs!$C$25</f>
        <v>0</v>
      </c>
    </row>
    <row r="353" customFormat="false" ht="15" hidden="false" customHeight="false" outlineLevel="0" collapsed="false">
      <c r="B353" s="9" t="s">
        <v>132</v>
      </c>
      <c r="C353" s="20" t="n">
        <f aca="false">Inputs!$C$32</f>
        <v>3</v>
      </c>
    </row>
    <row r="354" customFormat="false" ht="15" hidden="false" customHeight="false" outlineLevel="0" collapsed="false">
      <c r="B354" s="9" t="s">
        <v>133</v>
      </c>
      <c r="C354" s="13" t="n">
        <v>0</v>
      </c>
    </row>
    <row r="355" customFormat="false" ht="15" hidden="false" customHeight="false" outlineLevel="0" collapsed="false">
      <c r="B355" s="9" t="s">
        <v>134</v>
      </c>
      <c r="C355" s="21" t="n">
        <f aca="false">Inputs!$C$60</f>
        <v>0.45</v>
      </c>
    </row>
    <row r="356" customFormat="false" ht="15" hidden="false" customHeight="false" outlineLevel="0" collapsed="false">
      <c r="B356" s="9" t="s">
        <v>135</v>
      </c>
      <c r="C356" s="22" t="n">
        <f aca="false">Inputs!$C$61</f>
        <v>1.55</v>
      </c>
    </row>
    <row r="357" customFormat="false" ht="15" hidden="false" customHeight="false" outlineLevel="0" collapsed="false">
      <c r="B357" s="9" t="s">
        <v>136</v>
      </c>
      <c r="C357" s="23" t="n">
        <f aca="false">Inputs!$C$71</f>
        <v>0</v>
      </c>
    </row>
    <row r="358" customFormat="false" ht="15" hidden="false" customHeight="false" outlineLevel="0" collapsed="false">
      <c r="B358" s="9" t="s">
        <v>30</v>
      </c>
      <c r="C358" s="22" t="n">
        <f aca="false">Inputs!$C$18</f>
        <v>1.4</v>
      </c>
    </row>
    <row r="359" customFormat="false" ht="15" hidden="false" customHeight="false" outlineLevel="0" collapsed="false">
      <c r="B359" s="9" t="s">
        <v>137</v>
      </c>
      <c r="C359" s="19" t="n">
        <f aca="false">Inputs!$C$43</f>
        <v>0.9</v>
      </c>
    </row>
    <row r="360" customFormat="false" ht="15" hidden="false" customHeight="false" outlineLevel="0" collapsed="false">
      <c r="B360" s="9" t="s">
        <v>138</v>
      </c>
      <c r="C360" s="24" t="n">
        <f aca="false">$C$350</f>
        <v>246.160386087976</v>
      </c>
    </row>
    <row r="361" customFormat="false" ht="15" hidden="false" customHeight="false" outlineLevel="0" collapsed="false">
      <c r="B361" s="9" t="s">
        <v>139</v>
      </c>
      <c r="C361" s="24" t="n">
        <f aca="false">Inputs!$C$64</f>
        <v>900</v>
      </c>
    </row>
    <row r="362" customFormat="false" ht="15" hidden="false" customHeight="false" outlineLevel="0" collapsed="false">
      <c r="B362" s="9" t="s">
        <v>140</v>
      </c>
      <c r="C362" s="24" t="n">
        <f aca="false">Inputs!$C$6*1000*Inputs!$C$7*12*(1+Inputs!$C$8)^(Inputs!$C$9-1)/1000000</f>
        <v>60.8711509000706</v>
      </c>
    </row>
    <row r="363" customFormat="false" ht="15" hidden="false" customHeight="false" outlineLevel="0" collapsed="false">
      <c r="B363" s="25" t="s">
        <v>141</v>
      </c>
      <c r="C363" s="26"/>
      <c r="E363" s="26" t="n">
        <v>1</v>
      </c>
      <c r="F363" s="26" t="n">
        <v>2</v>
      </c>
      <c r="G363" s="26" t="n">
        <v>3</v>
      </c>
      <c r="H363" s="26" t="n">
        <v>4</v>
      </c>
      <c r="I363" s="26" t="n">
        <v>5</v>
      </c>
      <c r="J363" s="26" t="n">
        <v>6</v>
      </c>
      <c r="K363" s="26" t="n">
        <v>7</v>
      </c>
      <c r="L363" s="26" t="n">
        <v>8</v>
      </c>
      <c r="M363" s="26" t="n">
        <v>9</v>
      </c>
      <c r="N363" s="26" t="n">
        <v>10</v>
      </c>
      <c r="O363" s="26" t="n">
        <v>11</v>
      </c>
    </row>
    <row r="364" customFormat="false" ht="15" hidden="false" customHeight="false" outlineLevel="0" collapsed="false">
      <c r="B364" s="9" t="s">
        <v>142</v>
      </c>
      <c r="E364" s="24" t="n">
        <f aca="false">IF(E$363&lt;=Inputs!$C$22,Inputs!$C$21,Inputs!$C$23*(1+Inputs!$C$24)^(E$363-5)*IF(AND($C$352&lt;&gt;0,E$363&gt;=Inputs!$C$26),1+$C$352,1))</f>
        <v>61</v>
      </c>
      <c r="F364" s="24" t="n">
        <f aca="false">IF(F$363&lt;=Inputs!$C$22,Inputs!$C$21,Inputs!$C$23*(1+Inputs!$C$24)^(F$363-5)*IF(AND($C$352&lt;&gt;0,F$363&gt;=Inputs!$C$26),1+$C$352,1))</f>
        <v>61</v>
      </c>
      <c r="G364" s="24" t="n">
        <f aca="false">IF(G$363&lt;=Inputs!$C$22,Inputs!$C$21,Inputs!$C$23*(1+Inputs!$C$24)^(G$363-5)*IF(AND($C$352&lt;&gt;0,G$363&gt;=Inputs!$C$26),1+$C$352,1))</f>
        <v>61</v>
      </c>
      <c r="H364" s="24" t="n">
        <f aca="false">IF(H$363&lt;=Inputs!$C$22,Inputs!$C$21,Inputs!$C$23*(1+Inputs!$C$24)^(H$363-5)*IF(AND($C$352&lt;&gt;0,H$363&gt;=Inputs!$C$26),1+$C$352,1))</f>
        <v>61</v>
      </c>
      <c r="I364" s="24" t="n">
        <f aca="false">IF(I$363&lt;=Inputs!$C$22,Inputs!$C$21,Inputs!$C$23*(1+Inputs!$C$24)^(I$363-5)*IF(AND($C$352&lt;&gt;0,I$363&gt;=Inputs!$C$26),1+$C$352,1))</f>
        <v>67</v>
      </c>
      <c r="J364" s="24" t="n">
        <f aca="false">IF(J$363&lt;=Inputs!$C$22,Inputs!$C$21,Inputs!$C$23*(1+Inputs!$C$24)^(J$363-5)*IF(AND($C$352&lt;&gt;0,J$363&gt;=Inputs!$C$26),1+$C$352,1))</f>
        <v>68.675</v>
      </c>
      <c r="K364" s="24" t="n">
        <f aca="false">IF(K$363&lt;=Inputs!$C$22,Inputs!$C$21,Inputs!$C$23*(1+Inputs!$C$24)^(K$363-5)*IF(AND($C$352&lt;&gt;0,K$363&gt;=Inputs!$C$26),1+$C$352,1))</f>
        <v>70.391875</v>
      </c>
      <c r="L364" s="24" t="n">
        <f aca="false">IF(L$363&lt;=Inputs!$C$22,Inputs!$C$21,Inputs!$C$23*(1+Inputs!$C$24)^(L$363-5)*IF(AND($C$352&lt;&gt;0,L$363&gt;=Inputs!$C$26),1+$C$352,1))</f>
        <v>72.151671875</v>
      </c>
      <c r="M364" s="24" t="n">
        <f aca="false">IF(M$363&lt;=Inputs!$C$22,Inputs!$C$21,Inputs!$C$23*(1+Inputs!$C$24)^(M$363-5)*IF(AND($C$352&lt;&gt;0,M$363&gt;=Inputs!$C$26),1+$C$352,1))</f>
        <v>73.955463671875</v>
      </c>
      <c r="N364" s="24" t="n">
        <f aca="false">IF(N$363&lt;=Inputs!$C$22,Inputs!$C$21,Inputs!$C$23*(1+Inputs!$C$24)^(N$363-5)*IF(AND($C$352&lt;&gt;0,N$363&gt;=Inputs!$C$26),1+$C$352,1))</f>
        <v>75.8043502636718</v>
      </c>
      <c r="O364" s="24" t="n">
        <f aca="false">IF(O$363&lt;=Inputs!$C$22,Inputs!$C$21,Inputs!$C$23*(1+Inputs!$C$24)^(O$363-5)*IF(AND($C$352&lt;&gt;0,O$363&gt;=Inputs!$C$26),1+$C$352,1))</f>
        <v>77.6994590202636</v>
      </c>
    </row>
    <row r="365" customFormat="false" ht="15" hidden="false" customHeight="false" outlineLevel="0" collapsed="false">
      <c r="B365" s="9" t="s">
        <v>143</v>
      </c>
      <c r="E365" s="24" t="n">
        <f aca="false">Inputs!$C$19*(1+Inputs!$C$20)^(E$363-1)</f>
        <v>74</v>
      </c>
      <c r="F365" s="24" t="n">
        <f aca="false">Inputs!$C$19*(1+Inputs!$C$20)^(F$363-1)</f>
        <v>75.48</v>
      </c>
      <c r="G365" s="24" t="n">
        <f aca="false">Inputs!$C$19*(1+Inputs!$C$20)^(G$363-1)</f>
        <v>76.9896</v>
      </c>
      <c r="H365" s="24" t="n">
        <f aca="false">Inputs!$C$19*(1+Inputs!$C$20)^(H$363-1)</f>
        <v>78.529392</v>
      </c>
      <c r="I365" s="24" t="n">
        <f aca="false">Inputs!$C$19*(1+Inputs!$C$20)^(I$363-1)</f>
        <v>80.09997984</v>
      </c>
      <c r="J365" s="24" t="n">
        <f aca="false">Inputs!$C$19*(1+Inputs!$C$20)^(J$363-1)</f>
        <v>81.7019794368</v>
      </c>
      <c r="K365" s="24" t="n">
        <f aca="false">Inputs!$C$19*(1+Inputs!$C$20)^(K$363-1)</f>
        <v>83.336019025536</v>
      </c>
      <c r="L365" s="24" t="n">
        <f aca="false">Inputs!$C$19*(1+Inputs!$C$20)^(L$363-1)</f>
        <v>85.0027394060467</v>
      </c>
      <c r="M365" s="24" t="n">
        <f aca="false">Inputs!$C$19*(1+Inputs!$C$20)^(M$363-1)</f>
        <v>86.7027941941677</v>
      </c>
      <c r="N365" s="24" t="n">
        <f aca="false">Inputs!$C$19*(1+Inputs!$C$20)^(N$363-1)</f>
        <v>88.436850078051</v>
      </c>
      <c r="O365" s="24" t="n">
        <f aca="false">Inputs!$C$19*(1+Inputs!$C$20)^(O$363-1)</f>
        <v>90.205587079612</v>
      </c>
    </row>
    <row r="366" customFormat="false" ht="15" hidden="false" customHeight="false" outlineLevel="0" collapsed="false">
      <c r="B366" s="9" t="s">
        <v>144</v>
      </c>
      <c r="E366" s="27" t="n">
        <f aca="false">(1+Inputs!$C$11)^(E$363-1)</f>
        <v>1</v>
      </c>
      <c r="F366" s="27" t="n">
        <f aca="false">(1+Inputs!$C$11)^(F$363-1)</f>
        <v>1.03</v>
      </c>
      <c r="G366" s="27" t="n">
        <f aca="false">(1+Inputs!$C$11)^(G$363-1)</f>
        <v>1.0609</v>
      </c>
      <c r="H366" s="27" t="n">
        <f aca="false">(1+Inputs!$C$11)^(H$363-1)</f>
        <v>1.092727</v>
      </c>
      <c r="I366" s="27" t="n">
        <f aca="false">(1+Inputs!$C$11)^(I$363-1)</f>
        <v>1.12550881</v>
      </c>
      <c r="J366" s="27" t="n">
        <f aca="false">(1+Inputs!$C$11)^(J$363-1)</f>
        <v>1.1592740743</v>
      </c>
      <c r="K366" s="27" t="n">
        <f aca="false">(1+Inputs!$C$11)^(K$363-1)</f>
        <v>1.194052296529</v>
      </c>
      <c r="L366" s="27" t="n">
        <f aca="false">(1+Inputs!$C$11)^(L$363-1)</f>
        <v>1.22987386542487</v>
      </c>
      <c r="M366" s="27" t="n">
        <f aca="false">(1+Inputs!$C$11)^(M$363-1)</f>
        <v>1.26677008138762</v>
      </c>
      <c r="N366" s="27" t="n">
        <f aca="false">(1+Inputs!$C$11)^(N$363-1)</f>
        <v>1.30477318382925</v>
      </c>
      <c r="O366" s="27" t="n">
        <f aca="false">(1+Inputs!$C$11)^(O$363-1)</f>
        <v>1.34391637934412</v>
      </c>
    </row>
    <row r="367" customFormat="false" ht="15" hidden="false" customHeight="false" outlineLevel="0" collapsed="false">
      <c r="B367" s="9" t="s">
        <v>145</v>
      </c>
      <c r="E367" s="19" t="n">
        <f aca="false">IF(OR(E$363&lt;=Inputs!$C$9,$C$351="renew"),IF(AND($C$354&gt;0,E$363&gt;=$C$354),$C$355,Inputs!$C$16),IF($C$351="stranded",0,Inputs!$C$16))</f>
        <v>0.8</v>
      </c>
      <c r="F367" s="19" t="n">
        <f aca="false">IF(OR(F$363&lt;=Inputs!$C$9,$C$351="renew"),IF(AND($C$354&gt;0,F$363&gt;=$C$354),$C$355,Inputs!$C$16),IF($C$351="stranded",0,Inputs!$C$16))</f>
        <v>0.8</v>
      </c>
      <c r="G367" s="19" t="n">
        <f aca="false">IF(OR(G$363&lt;=Inputs!$C$9,$C$351="renew"),IF(AND($C$354&gt;0,G$363&gt;=$C$354),$C$355,Inputs!$C$16),IF($C$351="stranded",0,Inputs!$C$16))</f>
        <v>0.8</v>
      </c>
      <c r="H367" s="19" t="n">
        <f aca="false">IF(OR(H$363&lt;=Inputs!$C$9,$C$351="renew"),IF(AND($C$354&gt;0,H$363&gt;=$C$354),$C$355,Inputs!$C$16),IF($C$351="stranded",0,Inputs!$C$16))</f>
        <v>0.8</v>
      </c>
      <c r="I367" s="19" t="n">
        <f aca="false">IF(OR(I$363&lt;=Inputs!$C$9,$C$351="renew"),IF(AND($C$354&gt;0,I$363&gt;=$C$354),$C$355,Inputs!$C$16),IF($C$351="stranded",0,Inputs!$C$16))</f>
        <v>0.8</v>
      </c>
      <c r="J367" s="19" t="n">
        <f aca="false">IF(OR(J$363&lt;=Inputs!$C$9,$C$351="renew"),IF(AND($C$354&gt;0,J$363&gt;=$C$354),$C$355,Inputs!$C$16),IF($C$351="stranded",0,Inputs!$C$16))</f>
        <v>0.8</v>
      </c>
      <c r="K367" s="19" t="n">
        <f aca="false">IF(OR(K$363&lt;=Inputs!$C$9,$C$351="renew"),IF(AND($C$354&gt;0,K$363&gt;=$C$354),$C$355,Inputs!$C$16),IF($C$351="stranded",0,Inputs!$C$16))</f>
        <v>0.8</v>
      </c>
      <c r="L367" s="19" t="n">
        <f aca="false">IF(OR(L$363&lt;=Inputs!$C$9,$C$351="renew"),IF(AND($C$354&gt;0,L$363&gt;=$C$354),$C$355,Inputs!$C$16),IF($C$351="stranded",0,Inputs!$C$16))</f>
        <v>0.8</v>
      </c>
      <c r="M367" s="19" t="n">
        <f aca="false">IF(OR(M$363&lt;=Inputs!$C$9,$C$351="renew"),IF(AND($C$354&gt;0,M$363&gt;=$C$354),$C$355,Inputs!$C$16),IF($C$351="stranded",0,Inputs!$C$16))</f>
        <v>0.8</v>
      </c>
      <c r="N367" s="19" t="n">
        <f aca="false">IF(OR(N$363&lt;=Inputs!$C$9,$C$351="renew"),IF(AND($C$354&gt;0,N$363&gt;=$C$354),$C$355,Inputs!$C$16),IF($C$351="stranded",0,Inputs!$C$16))</f>
        <v>0.8</v>
      </c>
      <c r="O367" s="19" t="n">
        <f aca="false">IF(OR(O$363&lt;=Inputs!$C$9,$C$351="renew"),IF(AND($C$354&gt;0,O$363&gt;=$C$354),$C$355,Inputs!$C$16),IF($C$351="stranded",0,Inputs!$C$16))</f>
        <v>0.8</v>
      </c>
    </row>
    <row r="368" customFormat="false" ht="15" hidden="false" customHeight="false" outlineLevel="0" collapsed="false">
      <c r="B368" s="9" t="s">
        <v>146</v>
      </c>
      <c r="E368" s="22" t="n">
        <f aca="false">IF(OR(E$363&lt;=Inputs!$C$9,$C$351="renew"),IF(AND($C$354&gt;0,E$363&gt;=$C$354),$C$356,$C$358),IF($C$351="retrofit",Inputs!$C$47,IF($C$351="relet",Inputs!$C$53,0)))</f>
        <v>1.4</v>
      </c>
      <c r="F368" s="22" t="n">
        <f aca="false">IF(OR(F$363&lt;=Inputs!$C$9,$C$351="renew"),IF(AND($C$354&gt;0,F$363&gt;=$C$354),$C$356,$C$358),IF($C$351="retrofit",Inputs!$C$47,IF($C$351="relet",Inputs!$C$53,0)))</f>
        <v>1.4</v>
      </c>
      <c r="G368" s="22" t="n">
        <f aca="false">IF(OR(G$363&lt;=Inputs!$C$9,$C$351="renew"),IF(AND($C$354&gt;0,G$363&gt;=$C$354),$C$356,$C$358),IF($C$351="retrofit",Inputs!$C$47,IF($C$351="relet",Inputs!$C$53,0)))</f>
        <v>1.4</v>
      </c>
      <c r="H368" s="22" t="n">
        <f aca="false">IF(OR(H$363&lt;=Inputs!$C$9,$C$351="renew"),IF(AND($C$354&gt;0,H$363&gt;=$C$354),$C$356,$C$358),IF($C$351="retrofit",Inputs!$C$47,IF($C$351="relet",Inputs!$C$53,0)))</f>
        <v>1.4</v>
      </c>
      <c r="I368" s="22" t="n">
        <f aca="false">IF(OR(I$363&lt;=Inputs!$C$9,$C$351="renew"),IF(AND($C$354&gt;0,I$363&gt;=$C$354),$C$356,$C$358),IF($C$351="retrofit",Inputs!$C$47,IF($C$351="relet",Inputs!$C$53,0)))</f>
        <v>1.4</v>
      </c>
      <c r="J368" s="22" t="n">
        <f aca="false">IF(OR(J$363&lt;=Inputs!$C$9,$C$351="renew"),IF(AND($C$354&gt;0,J$363&gt;=$C$354),$C$356,$C$358),IF($C$351="retrofit",Inputs!$C$47,IF($C$351="relet",Inputs!$C$53,0)))</f>
        <v>1.4</v>
      </c>
      <c r="K368" s="22" t="n">
        <f aca="false">IF(OR(K$363&lt;=Inputs!$C$9,$C$351="renew"),IF(AND($C$354&gt;0,K$363&gt;=$C$354),$C$356,$C$358),IF($C$351="retrofit",Inputs!$C$47,IF($C$351="relet",Inputs!$C$53,0)))</f>
        <v>1.4</v>
      </c>
      <c r="L368" s="22" t="n">
        <f aca="false">IF(OR(L$363&lt;=Inputs!$C$9,$C$351="renew"),IF(AND($C$354&gt;0,L$363&gt;=$C$354),$C$356,$C$358),IF($C$351="retrofit",Inputs!$C$47,IF($C$351="relet",Inputs!$C$53,0)))</f>
        <v>1.4</v>
      </c>
      <c r="M368" s="22" t="n">
        <f aca="false">IF(OR(M$363&lt;=Inputs!$C$9,$C$351="renew"),IF(AND($C$354&gt;0,M$363&gt;=$C$354),$C$356,$C$358),IF($C$351="retrofit",Inputs!$C$47,IF($C$351="relet",Inputs!$C$53,0)))</f>
        <v>1.45</v>
      </c>
      <c r="N368" s="22" t="n">
        <f aca="false">IF(OR(N$363&lt;=Inputs!$C$9,$C$351="renew"),IF(AND($C$354&gt;0,N$363&gt;=$C$354),$C$356,$C$358),IF($C$351="retrofit",Inputs!$C$47,IF($C$351="relet",Inputs!$C$53,0)))</f>
        <v>1.45</v>
      </c>
      <c r="O368" s="22" t="n">
        <f aca="false">IF(OR(O$363&lt;=Inputs!$C$9,$C$351="renew"),IF(AND($C$354&gt;0,O$363&gt;=$C$354),$C$356,$C$358),IF($C$351="retrofit",Inputs!$C$47,IF($C$351="relet",Inputs!$C$53,0)))</f>
        <v>1.45</v>
      </c>
    </row>
    <row r="369" customFormat="false" ht="15" hidden="false" customHeight="false" outlineLevel="0" collapsed="false">
      <c r="B369" s="9" t="s">
        <v>147</v>
      </c>
      <c r="E369" s="21" t="n">
        <f aca="false">IF(OR(E$363&lt;=Inputs!$C$9,$C$351="renew"),1,IF($C$351="retrofit",IF(E$363-Inputs!$C$9=1,0,1),IF($C$351="relet",CHOOSE(MIN(E$363-Inputs!$C$9,3),Inputs!$C$50,Inputs!$C$51,Inputs!$C$52),0)))</f>
        <v>1</v>
      </c>
      <c r="F369" s="21" t="n">
        <f aca="false">IF(OR(F$363&lt;=Inputs!$C$9,$C$351="renew"),1,IF($C$351="retrofit",IF(F$363-Inputs!$C$9=1,0,1),IF($C$351="relet",CHOOSE(MIN(F$363-Inputs!$C$9,3),Inputs!$C$50,Inputs!$C$51,Inputs!$C$52),0)))</f>
        <v>1</v>
      </c>
      <c r="G369" s="21" t="n">
        <f aca="false">IF(OR(G$363&lt;=Inputs!$C$9,$C$351="renew"),1,IF($C$351="retrofit",IF(G$363-Inputs!$C$9=1,0,1),IF($C$351="relet",CHOOSE(MIN(G$363-Inputs!$C$9,3),Inputs!$C$50,Inputs!$C$51,Inputs!$C$52),0)))</f>
        <v>1</v>
      </c>
      <c r="H369" s="21" t="n">
        <f aca="false">IF(OR(H$363&lt;=Inputs!$C$9,$C$351="renew"),1,IF($C$351="retrofit",IF(H$363-Inputs!$C$9=1,0,1),IF($C$351="relet",CHOOSE(MIN(H$363-Inputs!$C$9,3),Inputs!$C$50,Inputs!$C$51,Inputs!$C$52),0)))</f>
        <v>1</v>
      </c>
      <c r="I369" s="21" t="n">
        <f aca="false">IF(OR(I$363&lt;=Inputs!$C$9,$C$351="renew"),1,IF($C$351="retrofit",IF(I$363-Inputs!$C$9=1,0,1),IF($C$351="relet",CHOOSE(MIN(I$363-Inputs!$C$9,3),Inputs!$C$50,Inputs!$C$51,Inputs!$C$52),0)))</f>
        <v>1</v>
      </c>
      <c r="J369" s="21" t="n">
        <f aca="false">IF(OR(J$363&lt;=Inputs!$C$9,$C$351="renew"),1,IF($C$351="retrofit",IF(J$363-Inputs!$C$9=1,0,1),IF($C$351="relet",CHOOSE(MIN(J$363-Inputs!$C$9,3),Inputs!$C$50,Inputs!$C$51,Inputs!$C$52),0)))</f>
        <v>1</v>
      </c>
      <c r="K369" s="21" t="n">
        <f aca="false">IF(OR(K$363&lt;=Inputs!$C$9,$C$351="renew"),1,IF($C$351="retrofit",IF(K$363-Inputs!$C$9=1,0,1),IF($C$351="relet",CHOOSE(MIN(K$363-Inputs!$C$9,3),Inputs!$C$50,Inputs!$C$51,Inputs!$C$52),0)))</f>
        <v>1</v>
      </c>
      <c r="L369" s="21" t="n">
        <f aca="false">IF(OR(L$363&lt;=Inputs!$C$9,$C$351="renew"),1,IF($C$351="retrofit",IF(L$363-Inputs!$C$9=1,0,1),IF($C$351="relet",CHOOSE(MIN(L$363-Inputs!$C$9,3),Inputs!$C$50,Inputs!$C$51,Inputs!$C$52),0)))</f>
        <v>1</v>
      </c>
      <c r="M369" s="21" t="n">
        <f aca="false">IF(OR(M$363&lt;=Inputs!$C$9,$C$351="renew"),1,IF($C$351="retrofit",IF(M$363-Inputs!$C$9=1,0,1),IF($C$351="relet",CHOOSE(MIN(M$363-Inputs!$C$9,3),Inputs!$C$50,Inputs!$C$51,Inputs!$C$52),0)))</f>
        <v>0</v>
      </c>
      <c r="N369" s="21" t="n">
        <f aca="false">IF(OR(N$363&lt;=Inputs!$C$9,$C$351="renew"),1,IF($C$351="retrofit",IF(N$363-Inputs!$C$9=1,0,1),IF($C$351="relet",CHOOSE(MIN(N$363-Inputs!$C$9,3),Inputs!$C$50,Inputs!$C$51,Inputs!$C$52),0)))</f>
        <v>0.55</v>
      </c>
      <c r="O369" s="21" t="n">
        <f aca="false">IF(OR(O$363&lt;=Inputs!$C$9,$C$351="renew"),1,IF($C$351="retrofit",IF(O$363-Inputs!$C$9=1,0,1),IF($C$351="relet",CHOOSE(MIN(O$363-Inputs!$C$9,3),Inputs!$C$50,Inputs!$C$51,Inputs!$C$52),0)))</f>
        <v>0.85</v>
      </c>
    </row>
    <row r="370" customFormat="false" ht="15" hidden="false" customHeight="false" outlineLevel="0" collapsed="false">
      <c r="B370" s="9" t="s">
        <v>148</v>
      </c>
      <c r="E370" s="28" t="n">
        <f aca="false">Inputs!$C$6*1000*E367*E369*8760/1000</f>
        <v>224256</v>
      </c>
      <c r="F370" s="28" t="n">
        <f aca="false">Inputs!$C$6*1000*F367*F369*8760/1000</f>
        <v>224256</v>
      </c>
      <c r="G370" s="28" t="n">
        <f aca="false">Inputs!$C$6*1000*G367*G369*8760/1000</f>
        <v>224256</v>
      </c>
      <c r="H370" s="28" t="n">
        <f aca="false">Inputs!$C$6*1000*H367*H369*8760/1000</f>
        <v>224256</v>
      </c>
      <c r="I370" s="28" t="n">
        <f aca="false">Inputs!$C$6*1000*I367*I369*8760/1000</f>
        <v>224256</v>
      </c>
      <c r="J370" s="28" t="n">
        <f aca="false">Inputs!$C$6*1000*J367*J369*8760/1000</f>
        <v>224256</v>
      </c>
      <c r="K370" s="28" t="n">
        <f aca="false">Inputs!$C$6*1000*K367*K369*8760/1000</f>
        <v>224256</v>
      </c>
      <c r="L370" s="28" t="n">
        <f aca="false">Inputs!$C$6*1000*L367*L369*8760/1000</f>
        <v>224256</v>
      </c>
      <c r="M370" s="28" t="n">
        <f aca="false">Inputs!$C$6*1000*M367*M369*8760/1000</f>
        <v>0</v>
      </c>
      <c r="N370" s="28" t="n">
        <f aca="false">Inputs!$C$6*1000*N367*N369*8760/1000</f>
        <v>123340.8</v>
      </c>
      <c r="O370" s="28" t="n">
        <f aca="false">Inputs!$C$6*1000*O367*O369*8760/1000</f>
        <v>190617.6</v>
      </c>
    </row>
    <row r="371" customFormat="false" ht="15" hidden="false" customHeight="false" outlineLevel="0" collapsed="false">
      <c r="B371" s="9" t="s">
        <v>149</v>
      </c>
      <c r="E371" s="24" t="n">
        <f aca="false">IF(E$363&lt;=Inputs!$C$9,Inputs!$C$6*1000*Inputs!$C$7*12*(1+Inputs!$C$8)^(E$363-1)/1000000,IF($C$351="renew",$C$362*$C$359*(1+Inputs!$C$8)^(E$363-Inputs!$C$9-1),IF($C$351="retrofit",IF(E$363-Inputs!$C$9=1,0,Inputs!$C$6*1000*Inputs!$C$46*12*(1+Inputs!$C$8)^(E$363-Inputs!$C$9-2)/1000000),IF($C$351="relet",Inputs!$C$6*1000*E369*$C$360*12*(1+Inputs!$C$8)^(E$363-Inputs!$C$9-2)/1000000,0))))</f>
        <v>52.992</v>
      </c>
      <c r="F371" s="24" t="n">
        <f aca="false">IF(F$363&lt;=Inputs!$C$9,Inputs!$C$6*1000*Inputs!$C$7*12*(1+Inputs!$C$8)^(F$363-1)/1000000,IF($C$351="renew",$C$362*$C$359*(1+Inputs!$C$8)^(F$363-Inputs!$C$9-1),IF($C$351="retrofit",IF(F$363-Inputs!$C$9=1,0,Inputs!$C$6*1000*Inputs!$C$46*12*(1+Inputs!$C$8)^(F$363-Inputs!$C$9-2)/1000000),IF($C$351="relet",Inputs!$C$6*1000*F369*$C$360*12*(1+Inputs!$C$8)^(F$363-Inputs!$C$9-2)/1000000,0))))</f>
        <v>54.05184</v>
      </c>
      <c r="G371" s="24" t="n">
        <f aca="false">IF(G$363&lt;=Inputs!$C$9,Inputs!$C$6*1000*Inputs!$C$7*12*(1+Inputs!$C$8)^(G$363-1)/1000000,IF($C$351="renew",$C$362*$C$359*(1+Inputs!$C$8)^(G$363-Inputs!$C$9-1),IF($C$351="retrofit",IF(G$363-Inputs!$C$9=1,0,Inputs!$C$6*1000*Inputs!$C$46*12*(1+Inputs!$C$8)^(G$363-Inputs!$C$9-2)/1000000),IF($C$351="relet",Inputs!$C$6*1000*G369*$C$360*12*(1+Inputs!$C$8)^(G$363-Inputs!$C$9-2)/1000000,0))))</f>
        <v>55.1328768</v>
      </c>
      <c r="H371" s="24" t="n">
        <f aca="false">IF(H$363&lt;=Inputs!$C$9,Inputs!$C$6*1000*Inputs!$C$7*12*(1+Inputs!$C$8)^(H$363-1)/1000000,IF($C$351="renew",$C$362*$C$359*(1+Inputs!$C$8)^(H$363-Inputs!$C$9-1),IF($C$351="retrofit",IF(H$363-Inputs!$C$9=1,0,Inputs!$C$6*1000*Inputs!$C$46*12*(1+Inputs!$C$8)^(H$363-Inputs!$C$9-2)/1000000),IF($C$351="relet",Inputs!$C$6*1000*H369*$C$360*12*(1+Inputs!$C$8)^(H$363-Inputs!$C$9-2)/1000000,0))))</f>
        <v>56.235534336</v>
      </c>
      <c r="I371" s="24" t="n">
        <f aca="false">IF(I$363&lt;=Inputs!$C$9,Inputs!$C$6*1000*Inputs!$C$7*12*(1+Inputs!$C$8)^(I$363-1)/1000000,IF($C$351="renew",$C$362*$C$359*(1+Inputs!$C$8)^(I$363-Inputs!$C$9-1),IF($C$351="retrofit",IF(I$363-Inputs!$C$9=1,0,Inputs!$C$6*1000*Inputs!$C$46*12*(1+Inputs!$C$8)^(I$363-Inputs!$C$9-2)/1000000),IF($C$351="relet",Inputs!$C$6*1000*I369*$C$360*12*(1+Inputs!$C$8)^(I$363-Inputs!$C$9-2)/1000000,0))))</f>
        <v>57.36024502272</v>
      </c>
      <c r="J371" s="24" t="n">
        <f aca="false">IF(J$363&lt;=Inputs!$C$9,Inputs!$C$6*1000*Inputs!$C$7*12*(1+Inputs!$C$8)^(J$363-1)/1000000,IF($C$351="renew",$C$362*$C$359*(1+Inputs!$C$8)^(J$363-Inputs!$C$9-1),IF($C$351="retrofit",IF(J$363-Inputs!$C$9=1,0,Inputs!$C$6*1000*Inputs!$C$46*12*(1+Inputs!$C$8)^(J$363-Inputs!$C$9-2)/1000000),IF($C$351="relet",Inputs!$C$6*1000*J369*$C$360*12*(1+Inputs!$C$8)^(J$363-Inputs!$C$9-2)/1000000,0))))</f>
        <v>58.5074499231744</v>
      </c>
      <c r="K371" s="24" t="n">
        <f aca="false">IF(K$363&lt;=Inputs!$C$9,Inputs!$C$6*1000*Inputs!$C$7*12*(1+Inputs!$C$8)^(K$363-1)/1000000,IF($C$351="renew",$C$362*$C$359*(1+Inputs!$C$8)^(K$363-Inputs!$C$9-1),IF($C$351="retrofit",IF(K$363-Inputs!$C$9=1,0,Inputs!$C$6*1000*Inputs!$C$46*12*(1+Inputs!$C$8)^(K$363-Inputs!$C$9-2)/1000000),IF($C$351="relet",Inputs!$C$6*1000*K369*$C$360*12*(1+Inputs!$C$8)^(K$363-Inputs!$C$9-2)/1000000,0))))</f>
        <v>59.6775989216379</v>
      </c>
      <c r="L371" s="24" t="n">
        <f aca="false">IF(L$363&lt;=Inputs!$C$9,Inputs!$C$6*1000*Inputs!$C$7*12*(1+Inputs!$C$8)^(L$363-1)/1000000,IF($C$351="renew",$C$362*$C$359*(1+Inputs!$C$8)^(L$363-Inputs!$C$9-1),IF($C$351="retrofit",IF(L$363-Inputs!$C$9=1,0,Inputs!$C$6*1000*Inputs!$C$46*12*(1+Inputs!$C$8)^(L$363-Inputs!$C$9-2)/1000000),IF($C$351="relet",Inputs!$C$6*1000*L369*$C$360*12*(1+Inputs!$C$8)^(L$363-Inputs!$C$9-2)/1000000,0))))</f>
        <v>60.8711509000706</v>
      </c>
      <c r="M371" s="24" t="n">
        <f aca="false">IF(M$363&lt;=Inputs!$C$9,Inputs!$C$6*1000*Inputs!$C$7*12*(1+Inputs!$C$8)^(M$363-1)/1000000,IF($C$351="renew",$C$362*$C$359*(1+Inputs!$C$8)^(M$363-Inputs!$C$9-1),IF($C$351="retrofit",IF(M$363-Inputs!$C$9=1,0,Inputs!$C$6*1000*Inputs!$C$46*12*(1+Inputs!$C$8)^(M$363-Inputs!$C$9-2)/1000000),IF($C$351="relet",Inputs!$C$6*1000*M369*$C$360*12*(1+Inputs!$C$8)^(M$363-Inputs!$C$9-2)/1000000,0))))</f>
        <v>0</v>
      </c>
      <c r="N371" s="24" t="n">
        <f aca="false">IF(N$363&lt;=Inputs!$C$9,Inputs!$C$6*1000*Inputs!$C$7*12*(1+Inputs!$C$8)^(N$363-1)/1000000,IF($C$351="renew",$C$362*$C$359*(1+Inputs!$C$8)^(N$363-Inputs!$C$9-1),IF($C$351="retrofit",IF(N$363-Inputs!$C$9=1,0,Inputs!$C$6*1000*Inputs!$C$46*12*(1+Inputs!$C$8)^(N$363-Inputs!$C$9-2)/1000000),IF($C$351="relet",Inputs!$C$6*1000*N369*$C$360*12*(1+Inputs!$C$8)^(N$363-Inputs!$C$9-2)/1000000,0))))</f>
        <v>51.9890735417805</v>
      </c>
      <c r="O371" s="24" t="n">
        <f aca="false">IF(O$363&lt;=Inputs!$C$9,Inputs!$C$6*1000*Inputs!$C$7*12*(1+Inputs!$C$8)^(O$363-1)/1000000,IF($C$351="renew",$C$362*$C$359*(1+Inputs!$C$8)^(O$363-Inputs!$C$9-1),IF($C$351="retrofit",IF(O$363-Inputs!$C$9=1,0,Inputs!$C$6*1000*Inputs!$C$46*12*(1+Inputs!$C$8)^(O$363-Inputs!$C$9-2)/1000000),IF($C$351="relet",Inputs!$C$6*1000*O369*$C$360*12*(1+Inputs!$C$8)^(O$363-Inputs!$C$9-2)/1000000,0))))</f>
        <v>81.9536850194976</v>
      </c>
    </row>
    <row r="372" customFormat="false" ht="15" hidden="false" customHeight="false" outlineLevel="0" collapsed="false">
      <c r="B372" s="9" t="s">
        <v>150</v>
      </c>
      <c r="E372" s="24" t="n">
        <f aca="false">IF(OR(E$363&lt;=Inputs!$C$9,$C$351="renew"),E370*(Inputs!$C$17*E365-E368*E364)/1000000,E370*E368*Inputs!$C$27/1000000)</f>
        <v>2.4219648</v>
      </c>
      <c r="F372" s="24" t="n">
        <f aca="false">IF(OR(F$363&lt;=Inputs!$C$9,$C$351="renew"),F370*(Inputs!$C$17*F365-F368*F364)/1000000,F370*F368*Inputs!$C$27/1000000)</f>
        <v>2.853433344</v>
      </c>
      <c r="G372" s="24" t="n">
        <f aca="false">IF(OR(G$363&lt;=Inputs!$C$9,$C$351="renew"),G370*(Inputs!$C$17*G365-G368*G364)/1000000,G370*G368*Inputs!$C$27/1000000)</f>
        <v>3.29353125888</v>
      </c>
      <c r="H372" s="24" t="n">
        <f aca="false">IF(OR(H$363&lt;=Inputs!$C$9,$C$351="renew"),H370*(Inputs!$C$17*H365-H368*H364)/1000000,H370*H368*Inputs!$C$27/1000000)</f>
        <v>3.74243113205761</v>
      </c>
      <c r="I372" s="24" t="n">
        <f aca="false">IF(OR(I$363&lt;=Inputs!$C$9,$C$351="renew"),I370*(Inputs!$C$17*I365-I368*I364)/1000000,I370*I368*Inputs!$C$27/1000000)</f>
        <v>2.31655860269875</v>
      </c>
      <c r="J372" s="24" t="n">
        <f aca="false">IF(OR(J$363&lt;=Inputs!$C$9,$C$351="renew"),J370*(Inputs!$C$17*J365-J368*J364)/1000000,J370*J368*Inputs!$C$27/1000000)</f>
        <v>2.25771371075273</v>
      </c>
      <c r="K372" s="24" t="n">
        <f aca="false">IF(OR(K$363&lt;=Inputs!$C$9,$C$351="renew"),K370*(Inputs!$C$17*K365-K368*K364)/1000000,K370*K368*Inputs!$C$27/1000000)</f>
        <v>2.19506251936779</v>
      </c>
      <c r="L372" s="24" t="n">
        <f aca="false">IF(OR(L$363&lt;=Inputs!$C$9,$C$351="renew"),L370*(Inputs!$C$17*L365-L368*L364)/1000000,L370*L368*Inputs!$C$27/1000000)</f>
        <v>2.12846316751515</v>
      </c>
      <c r="M372" s="24" t="n">
        <f aca="false">IF(OR(M$363&lt;=Inputs!$C$9,$C$351="renew"),M370*(Inputs!$C$17*M365-M368*M364)/1000000,M370*M368*Inputs!$C$27/1000000)</f>
        <v>0</v>
      </c>
      <c r="N372" s="24" t="n">
        <f aca="false">IF(OR(N$363&lt;=Inputs!$C$9,$C$351="renew"),N370*(Inputs!$C$17*N365-N368*N364)/1000000,N370*N368*Inputs!$C$27/1000000)</f>
        <v>0.53653248</v>
      </c>
      <c r="O372" s="24" t="n">
        <f aca="false">IF(OR(O$363&lt;=Inputs!$C$9,$C$351="renew"),O370*(Inputs!$C$17*O365-O368*O364)/1000000,O370*O368*Inputs!$C$27/1000000)</f>
        <v>0.82918656</v>
      </c>
    </row>
    <row r="373" customFormat="false" ht="15" hidden="false" customHeight="false" outlineLevel="0" collapsed="false">
      <c r="B373" s="9" t="s">
        <v>151</v>
      </c>
      <c r="E373" s="24" t="n">
        <f aca="false">Inputs!$C$10*E366*IF(OR(E$363&lt;=Inputs!$C$9,$C$351="renew"),1,IF($C$351="retrofit",IF(E$363-Inputs!$C$9=1,Inputs!$C$48,1),IF($C$351="relet",Inputs!$C$54,Inputs!$C$56)))</f>
        <v>4.1</v>
      </c>
      <c r="F373" s="24" t="n">
        <f aca="false">Inputs!$C$10*F366*IF(OR(F$363&lt;=Inputs!$C$9,$C$351="renew"),1,IF($C$351="retrofit",IF(F$363-Inputs!$C$9=1,Inputs!$C$48,1),IF($C$351="relet",Inputs!$C$54,Inputs!$C$56)))</f>
        <v>4.223</v>
      </c>
      <c r="G373" s="24" t="n">
        <f aca="false">Inputs!$C$10*G366*IF(OR(G$363&lt;=Inputs!$C$9,$C$351="renew"),1,IF($C$351="retrofit",IF(G$363-Inputs!$C$9=1,Inputs!$C$48,1),IF($C$351="relet",Inputs!$C$54,Inputs!$C$56)))</f>
        <v>4.34969</v>
      </c>
      <c r="H373" s="24" t="n">
        <f aca="false">Inputs!$C$10*H366*IF(OR(H$363&lt;=Inputs!$C$9,$C$351="renew"),1,IF($C$351="retrofit",IF(H$363-Inputs!$C$9=1,Inputs!$C$48,1),IF($C$351="relet",Inputs!$C$54,Inputs!$C$56)))</f>
        <v>4.4801807</v>
      </c>
      <c r="I373" s="24" t="n">
        <f aca="false">Inputs!$C$10*I366*IF(OR(I$363&lt;=Inputs!$C$9,$C$351="renew"),1,IF($C$351="retrofit",IF(I$363-Inputs!$C$9=1,Inputs!$C$48,1),IF($C$351="relet",Inputs!$C$54,Inputs!$C$56)))</f>
        <v>4.614586121</v>
      </c>
      <c r="J373" s="24" t="n">
        <f aca="false">Inputs!$C$10*J366*IF(OR(J$363&lt;=Inputs!$C$9,$C$351="renew"),1,IF($C$351="retrofit",IF(J$363-Inputs!$C$9=1,Inputs!$C$48,1),IF($C$351="relet",Inputs!$C$54,Inputs!$C$56)))</f>
        <v>4.75302370463</v>
      </c>
      <c r="K373" s="24" t="n">
        <f aca="false">Inputs!$C$10*K366*IF(OR(K$363&lt;=Inputs!$C$9,$C$351="renew"),1,IF($C$351="retrofit",IF(K$363-Inputs!$C$9=1,Inputs!$C$48,1),IF($C$351="relet",Inputs!$C$54,Inputs!$C$56)))</f>
        <v>4.8956144157689</v>
      </c>
      <c r="L373" s="24" t="n">
        <f aca="false">Inputs!$C$10*L366*IF(OR(L$363&lt;=Inputs!$C$9,$C$351="renew"),1,IF($C$351="retrofit",IF(L$363-Inputs!$C$9=1,Inputs!$C$48,1),IF($C$351="relet",Inputs!$C$54,Inputs!$C$56)))</f>
        <v>5.04248284824197</v>
      </c>
      <c r="M373" s="24" t="n">
        <f aca="false">Inputs!$C$10*M366*IF(OR(M$363&lt;=Inputs!$C$9,$C$351="renew"),1,IF($C$351="retrofit",IF(M$363-Inputs!$C$9=1,Inputs!$C$48,1),IF($C$351="relet",Inputs!$C$54,Inputs!$C$56)))</f>
        <v>6.49219666711153</v>
      </c>
      <c r="N373" s="24" t="n">
        <f aca="false">Inputs!$C$10*N366*IF(OR(N$363&lt;=Inputs!$C$9,$C$351="renew"),1,IF($C$351="retrofit",IF(N$363-Inputs!$C$9=1,Inputs!$C$48,1),IF($C$351="relet",Inputs!$C$54,Inputs!$C$56)))</f>
        <v>6.68696256712488</v>
      </c>
      <c r="O373" s="24" t="n">
        <f aca="false">Inputs!$C$10*O366*IF(OR(O$363&lt;=Inputs!$C$9,$C$351="renew"),1,IF($C$351="retrofit",IF(O$363-Inputs!$C$9=1,Inputs!$C$48,1),IF($C$351="relet",Inputs!$C$54,Inputs!$C$56)))</f>
        <v>6.88757144413863</v>
      </c>
    </row>
    <row r="374" customFormat="false" ht="15" hidden="false" customHeight="false" outlineLevel="0" collapsed="false">
      <c r="B374" s="9" t="s">
        <v>152</v>
      </c>
      <c r="E374" s="24" t="n">
        <f aca="false">IF(E$363&gt;=$C$353,Inputs!$C$30*1000*Inputs!$C$34*12*(1+Inputs!$C$8)^(E$363-$C$353)/1000000*IF(AND(E$363=$C$353,$C$353&gt;Inputs!$C$33),1-MIN(12,Inputs!$C$35*($C$353-Inputs!$C$33)*12)/12,1),0)</f>
        <v>0</v>
      </c>
      <c r="F374" s="24" t="n">
        <f aca="false">IF(F$363&gt;=$C$353,Inputs!$C$30*1000*Inputs!$C$34*12*(1+Inputs!$C$8)^(F$363-$C$353)/1000000*IF(AND(F$363=$C$353,$C$353&gt;Inputs!$C$33),1-MIN(12,Inputs!$C$35*($C$353-Inputs!$C$33)*12)/12,1),0)</f>
        <v>0</v>
      </c>
      <c r="G374" s="24" t="n">
        <f aca="false">IF(G$363&gt;=$C$353,Inputs!$C$30*1000*Inputs!$C$34*12*(1+Inputs!$C$8)^(G$363-$C$353)/1000000*IF(AND(G$363=$C$353,$C$353&gt;Inputs!$C$33),1-MIN(12,Inputs!$C$35*($C$353-Inputs!$C$33)*12)/12,1),0)</f>
        <v>29.184</v>
      </c>
      <c r="H374" s="24" t="n">
        <f aca="false">IF(H$363&gt;=$C$353,Inputs!$C$30*1000*Inputs!$C$34*12*(1+Inputs!$C$8)^(H$363-$C$353)/1000000*IF(AND(H$363=$C$353,$C$353&gt;Inputs!$C$33),1-MIN(12,Inputs!$C$35*($C$353-Inputs!$C$33)*12)/12,1),0)</f>
        <v>29.76768</v>
      </c>
      <c r="I374" s="24" t="n">
        <f aca="false">IF(I$363&gt;=$C$353,Inputs!$C$30*1000*Inputs!$C$34*12*(1+Inputs!$C$8)^(I$363-$C$353)/1000000*IF(AND(I$363=$C$353,$C$353&gt;Inputs!$C$33),1-MIN(12,Inputs!$C$35*($C$353-Inputs!$C$33)*12)/12,1),0)</f>
        <v>30.3630336</v>
      </c>
      <c r="J374" s="24" t="n">
        <f aca="false">IF(J$363&gt;=$C$353,Inputs!$C$30*1000*Inputs!$C$34*12*(1+Inputs!$C$8)^(J$363-$C$353)/1000000*IF(AND(J$363=$C$353,$C$353&gt;Inputs!$C$33),1-MIN(12,Inputs!$C$35*($C$353-Inputs!$C$33)*12)/12,1),0)</f>
        <v>30.970294272</v>
      </c>
      <c r="K374" s="24" t="n">
        <f aca="false">IF(K$363&gt;=$C$353,Inputs!$C$30*1000*Inputs!$C$34*12*(1+Inputs!$C$8)^(K$363-$C$353)/1000000*IF(AND(K$363=$C$353,$C$353&gt;Inputs!$C$33),1-MIN(12,Inputs!$C$35*($C$353-Inputs!$C$33)*12)/12,1),0)</f>
        <v>31.58970015744</v>
      </c>
      <c r="L374" s="24" t="n">
        <f aca="false">IF(L$363&gt;=$C$353,Inputs!$C$30*1000*Inputs!$C$34*12*(1+Inputs!$C$8)^(L$363-$C$353)/1000000*IF(AND(L$363=$C$353,$C$353&gt;Inputs!$C$33),1-MIN(12,Inputs!$C$35*($C$353-Inputs!$C$33)*12)/12,1),0)</f>
        <v>32.2214941605888</v>
      </c>
      <c r="M374" s="24" t="n">
        <f aca="false">IF(M$363&gt;=$C$353,Inputs!$C$30*1000*Inputs!$C$34*12*(1+Inputs!$C$8)^(M$363-$C$353)/1000000*IF(AND(M$363=$C$353,$C$353&gt;Inputs!$C$33),1-MIN(12,Inputs!$C$35*($C$353-Inputs!$C$33)*12)/12,1),0)</f>
        <v>32.8659240438006</v>
      </c>
      <c r="N374" s="24" t="n">
        <f aca="false">IF(N$363&gt;=$C$353,Inputs!$C$30*1000*Inputs!$C$34*12*(1+Inputs!$C$8)^(N$363-$C$353)/1000000*IF(AND(N$363=$C$353,$C$353&gt;Inputs!$C$33),1-MIN(12,Inputs!$C$35*($C$353-Inputs!$C$33)*12)/12,1),0)</f>
        <v>33.5232425246766</v>
      </c>
      <c r="O374" s="24" t="n">
        <f aca="false">IF(O$363&gt;=$C$353,Inputs!$C$30*1000*Inputs!$C$34*12*(1+Inputs!$C$8)^(O$363-$C$353)/1000000*IF(AND(O$363=$C$353,$C$353&gt;Inputs!$C$33),1-MIN(12,Inputs!$C$35*($C$353-Inputs!$C$33)*12)/12,1),0)</f>
        <v>34.1937073751701</v>
      </c>
    </row>
    <row r="375" customFormat="false" ht="15" hidden="false" customHeight="false" outlineLevel="0" collapsed="false">
      <c r="B375" s="9" t="s">
        <v>153</v>
      </c>
      <c r="E375" s="28" t="n">
        <f aca="false">IF(E$363&gt;=$C$353,Inputs!$C$30*1000*Inputs!$C$16*8760/1000,0)</f>
        <v>0</v>
      </c>
      <c r="F375" s="28" t="n">
        <f aca="false">IF(F$363&gt;=$C$353,Inputs!$C$30*1000*Inputs!$C$16*8760/1000,0)</f>
        <v>0</v>
      </c>
      <c r="G375" s="28" t="n">
        <f aca="false">IF(G$363&gt;=$C$353,Inputs!$C$30*1000*Inputs!$C$16*8760/1000,0)</f>
        <v>112128</v>
      </c>
      <c r="H375" s="28" t="n">
        <f aca="false">IF(H$363&gt;=$C$353,Inputs!$C$30*1000*Inputs!$C$16*8760/1000,0)</f>
        <v>112128</v>
      </c>
      <c r="I375" s="28" t="n">
        <f aca="false">IF(I$363&gt;=$C$353,Inputs!$C$30*1000*Inputs!$C$16*8760/1000,0)</f>
        <v>112128</v>
      </c>
      <c r="J375" s="28" t="n">
        <f aca="false">IF(J$363&gt;=$C$353,Inputs!$C$30*1000*Inputs!$C$16*8760/1000,0)</f>
        <v>112128</v>
      </c>
      <c r="K375" s="28" t="n">
        <f aca="false">IF(K$363&gt;=$C$353,Inputs!$C$30*1000*Inputs!$C$16*8760/1000,0)</f>
        <v>112128</v>
      </c>
      <c r="L375" s="28" t="n">
        <f aca="false">IF(L$363&gt;=$C$353,Inputs!$C$30*1000*Inputs!$C$16*8760/1000,0)</f>
        <v>112128</v>
      </c>
      <c r="M375" s="28" t="n">
        <f aca="false">IF(M$363&gt;=$C$353,Inputs!$C$30*1000*Inputs!$C$16*8760/1000,0)</f>
        <v>112128</v>
      </c>
      <c r="N375" s="28" t="n">
        <f aca="false">IF(N$363&gt;=$C$353,Inputs!$C$30*1000*Inputs!$C$16*8760/1000,0)</f>
        <v>112128</v>
      </c>
      <c r="O375" s="28" t="n">
        <f aca="false">IF(O$363&gt;=$C$353,Inputs!$C$30*1000*Inputs!$C$16*8760/1000,0)</f>
        <v>112128</v>
      </c>
    </row>
    <row r="376" customFormat="false" ht="15" hidden="false" customHeight="false" outlineLevel="0" collapsed="false">
      <c r="B376" s="9" t="s">
        <v>154</v>
      </c>
      <c r="E376" s="24" t="n">
        <f aca="false">E375*Inputs!$C$37*Inputs!$C$27/1000000</f>
        <v>0</v>
      </c>
      <c r="F376" s="24" t="n">
        <f aca="false">F375*Inputs!$C$37*Inputs!$C$27/1000000</f>
        <v>0</v>
      </c>
      <c r="G376" s="24" t="n">
        <f aca="false">G375*Inputs!$C$37*Inputs!$C$27/1000000</f>
        <v>0.4036608</v>
      </c>
      <c r="H376" s="24" t="n">
        <f aca="false">H375*Inputs!$C$37*Inputs!$C$27/1000000</f>
        <v>0.4036608</v>
      </c>
      <c r="I376" s="24" t="n">
        <f aca="false">I375*Inputs!$C$37*Inputs!$C$27/1000000</f>
        <v>0.4036608</v>
      </c>
      <c r="J376" s="24" t="n">
        <f aca="false">J375*Inputs!$C$37*Inputs!$C$27/1000000</f>
        <v>0.4036608</v>
      </c>
      <c r="K376" s="24" t="n">
        <f aca="false">K375*Inputs!$C$37*Inputs!$C$27/1000000</f>
        <v>0.4036608</v>
      </c>
      <c r="L376" s="24" t="n">
        <f aca="false">L375*Inputs!$C$37*Inputs!$C$27/1000000</f>
        <v>0.4036608</v>
      </c>
      <c r="M376" s="24" t="n">
        <f aca="false">M375*Inputs!$C$37*Inputs!$C$27/1000000</f>
        <v>0.4036608</v>
      </c>
      <c r="N376" s="24" t="n">
        <f aca="false">N375*Inputs!$C$37*Inputs!$C$27/1000000</f>
        <v>0.4036608</v>
      </c>
      <c r="O376" s="24" t="n">
        <f aca="false">O375*Inputs!$C$37*Inputs!$C$27/1000000</f>
        <v>0.4036608</v>
      </c>
    </row>
    <row r="377" customFormat="false" ht="15" hidden="false" customHeight="false" outlineLevel="0" collapsed="false">
      <c r="B377" s="9" t="s">
        <v>155</v>
      </c>
      <c r="E377" s="24" t="n">
        <f aca="false">IF(E$363&gt;=$C$353,Inputs!$C$38*E366,0)</f>
        <v>0</v>
      </c>
      <c r="F377" s="24" t="n">
        <f aca="false">IF(F$363&gt;=$C$353,Inputs!$C$38*F366,0)</f>
        <v>0</v>
      </c>
      <c r="G377" s="24" t="n">
        <f aca="false">IF(G$363&gt;=$C$353,Inputs!$C$38*G366,0)</f>
        <v>1.69744</v>
      </c>
      <c r="H377" s="24" t="n">
        <f aca="false">IF(H$363&gt;=$C$353,Inputs!$C$38*H366,0)</f>
        <v>1.7483632</v>
      </c>
      <c r="I377" s="24" t="n">
        <f aca="false">IF(I$363&gt;=$C$353,Inputs!$C$38*I366,0)</f>
        <v>1.800814096</v>
      </c>
      <c r="J377" s="24" t="n">
        <f aca="false">IF(J$363&gt;=$C$353,Inputs!$C$38*J366,0)</f>
        <v>1.85483851888</v>
      </c>
      <c r="K377" s="24" t="n">
        <f aca="false">IF(K$363&gt;=$C$353,Inputs!$C$38*K366,0)</f>
        <v>1.9104836744464</v>
      </c>
      <c r="L377" s="24" t="n">
        <f aca="false">IF(L$363&gt;=$C$353,Inputs!$C$38*L366,0)</f>
        <v>1.96779818467979</v>
      </c>
      <c r="M377" s="24" t="n">
        <f aca="false">IF(M$363&gt;=$C$353,Inputs!$C$38*M366,0)</f>
        <v>2.02683213022019</v>
      </c>
      <c r="N377" s="24" t="n">
        <f aca="false">IF(N$363&gt;=$C$353,Inputs!$C$38*N366,0)</f>
        <v>2.08763709412679</v>
      </c>
      <c r="O377" s="24" t="n">
        <f aca="false">IF(O$363&gt;=$C$353,Inputs!$C$38*O366,0)</f>
        <v>2.1502662069506</v>
      </c>
    </row>
    <row r="378" customFormat="false" ht="15" hidden="false" customHeight="false" outlineLevel="0" collapsed="false">
      <c r="B378" s="9" t="s">
        <v>156</v>
      </c>
      <c r="E378" s="24" t="n">
        <f aca="false">Inputs!$C$12*(E371+E374)</f>
        <v>0.52992</v>
      </c>
      <c r="F378" s="24" t="n">
        <f aca="false">Inputs!$C$12*(F371+F374)</f>
        <v>0.5405184</v>
      </c>
      <c r="G378" s="24" t="n">
        <f aca="false">Inputs!$C$12*(G371+G374)</f>
        <v>0.843168768</v>
      </c>
      <c r="H378" s="24" t="n">
        <f aca="false">Inputs!$C$12*(H371+H374)</f>
        <v>0.86003214336</v>
      </c>
      <c r="I378" s="24" t="n">
        <f aca="false">Inputs!$C$12*(I371+I374)</f>
        <v>0.8772327862272</v>
      </c>
      <c r="J378" s="24" t="n">
        <f aca="false">Inputs!$C$12*(J371+J374)</f>
        <v>0.894777441951744</v>
      </c>
      <c r="K378" s="24" t="n">
        <f aca="false">Inputs!$C$12*(K371+K374)</f>
        <v>0.912672990790779</v>
      </c>
      <c r="L378" s="24" t="n">
        <f aca="false">Inputs!$C$12*(L371+L374)</f>
        <v>0.930926450606595</v>
      </c>
      <c r="M378" s="24" t="n">
        <f aca="false">Inputs!$C$12*(M371+M374)</f>
        <v>0.328659240438006</v>
      </c>
      <c r="N378" s="24" t="n">
        <f aca="false">Inputs!$C$12*(N371+N374)</f>
        <v>0.855123160664571</v>
      </c>
      <c r="O378" s="24" t="n">
        <f aca="false">Inputs!$C$12*(O371+O374)</f>
        <v>1.16147392394668</v>
      </c>
    </row>
    <row r="379" customFormat="false" ht="15" hidden="false" customHeight="false" outlineLevel="0" collapsed="false">
      <c r="B379" s="29" t="s">
        <v>157</v>
      </c>
      <c r="E379" s="30" t="n">
        <f aca="false">E371+E372+E374+E376-E373-E377-E378</f>
        <v>50.7840448</v>
      </c>
      <c r="F379" s="30" t="n">
        <f aca="false">F371+F372+F374+F376-F373-F377-F378</f>
        <v>52.141754944</v>
      </c>
      <c r="G379" s="30" t="n">
        <f aca="false">G371+G372+G374+G376-G373-G377-G378</f>
        <v>81.12377009088</v>
      </c>
      <c r="H379" s="30" t="n">
        <f aca="false">H371+H372+H374+H376-H373-H377-H378</f>
        <v>83.0607302246976</v>
      </c>
      <c r="I379" s="30" t="n">
        <f aca="false">I371+I372+I374+I376-I373-I377-I378</f>
        <v>83.1508650221916</v>
      </c>
      <c r="J379" s="30" t="n">
        <f aca="false">J371+J372+J374+J376-J373-J377-J378</f>
        <v>84.6364790404654</v>
      </c>
      <c r="K379" s="30" t="n">
        <f aca="false">K371+K372+K374+K376-K373-K377-K378</f>
        <v>86.1472513174396</v>
      </c>
      <c r="L379" s="30" t="n">
        <f aca="false">L371+L372+L374+L376-L373-L377-L378</f>
        <v>87.6835615446462</v>
      </c>
      <c r="M379" s="30" t="n">
        <f aca="false">M371+M372+M374+M376-M373-M377-M378</f>
        <v>24.4218968060308</v>
      </c>
      <c r="N379" s="30" t="n">
        <f aca="false">N371+N372+N374+N376-N373-N377-N378</f>
        <v>76.8227865245408</v>
      </c>
      <c r="O379" s="30" t="n">
        <f aca="false">O371+O372+O374+O376-O373-O377-O378</f>
        <v>107.180928179632</v>
      </c>
    </row>
    <row r="380" customFormat="false" ht="15" hidden="false" customHeight="false" outlineLevel="0" collapsed="false">
      <c r="B380" s="9" t="s">
        <v>158</v>
      </c>
      <c r="E380" s="24" t="n">
        <f aca="false">Inputs!$C$13*E366*IF(AND($C$351="stranded",E$363&gt;Inputs!$C$9),Inputs!$C$56,1)+IF(E$363&gt;=$C$353,Inputs!$C$39*E366,0)</f>
        <v>1.3</v>
      </c>
      <c r="F380" s="24" t="n">
        <f aca="false">Inputs!$C$13*F366*IF(AND($C$351="stranded",F$363&gt;Inputs!$C$9),Inputs!$C$56,1)+IF(F$363&gt;=$C$353,Inputs!$C$39*F366,0)</f>
        <v>1.339</v>
      </c>
      <c r="G380" s="24" t="n">
        <f aca="false">Inputs!$C$13*G366*IF(AND($C$351="stranded",G$363&gt;Inputs!$C$9),Inputs!$C$56,1)+IF(G$363&gt;=$C$353,Inputs!$C$39*G366,0)</f>
        <v>1.90962</v>
      </c>
      <c r="H380" s="24" t="n">
        <f aca="false">Inputs!$C$13*H366*IF(AND($C$351="stranded",H$363&gt;Inputs!$C$9),Inputs!$C$56,1)+IF(H$363&gt;=$C$353,Inputs!$C$39*H366,0)</f>
        <v>1.9669086</v>
      </c>
      <c r="I380" s="24" t="n">
        <f aca="false">Inputs!$C$13*I366*IF(AND($C$351="stranded",I$363&gt;Inputs!$C$9),Inputs!$C$56,1)+IF(I$363&gt;=$C$353,Inputs!$C$39*I366,0)</f>
        <v>2.025915858</v>
      </c>
      <c r="J380" s="24" t="n">
        <f aca="false">Inputs!$C$13*J366*IF(AND($C$351="stranded",J$363&gt;Inputs!$C$9),Inputs!$C$56,1)+IF(J$363&gt;=$C$353,Inputs!$C$39*J366,0)</f>
        <v>2.08669333374</v>
      </c>
      <c r="K380" s="24" t="n">
        <f aca="false">Inputs!$C$13*K366*IF(AND($C$351="stranded",K$363&gt;Inputs!$C$9),Inputs!$C$56,1)+IF(K$363&gt;=$C$353,Inputs!$C$39*K366,0)</f>
        <v>2.1492941337522</v>
      </c>
      <c r="L380" s="24" t="n">
        <f aca="false">Inputs!$C$13*L366*IF(AND($C$351="stranded",L$363&gt;Inputs!$C$9),Inputs!$C$56,1)+IF(L$363&gt;=$C$353,Inputs!$C$39*L366,0)</f>
        <v>2.21377295776477</v>
      </c>
      <c r="M380" s="24" t="n">
        <f aca="false">Inputs!$C$13*M366*IF(AND($C$351="stranded",M$363&gt;Inputs!$C$9),Inputs!$C$56,1)+IF(M$363&gt;=$C$353,Inputs!$C$39*M366,0)</f>
        <v>2.28018614649771</v>
      </c>
      <c r="N380" s="24" t="n">
        <f aca="false">Inputs!$C$13*N366*IF(AND($C$351="stranded",N$363&gt;Inputs!$C$9),Inputs!$C$56,1)+IF(N$363&gt;=$C$353,Inputs!$C$39*N366,0)</f>
        <v>2.34859173089264</v>
      </c>
      <c r="O380" s="24" t="n">
        <f aca="false">Inputs!$C$13*O366*IF(AND($C$351="stranded",O$363&gt;Inputs!$C$9),Inputs!$C$56,1)+IF(O$363&gt;=$C$353,Inputs!$C$39*O366,0)</f>
        <v>2.41904948281942</v>
      </c>
    </row>
    <row r="381" customFormat="false" ht="15" hidden="false" customHeight="false" outlineLevel="0" collapsed="false">
      <c r="B381" s="9" t="s">
        <v>159</v>
      </c>
      <c r="E381" s="24" t="n">
        <f aca="false">IF(OR(E$363=1,E$363=2),Inputs!$C$31*Inputs!$C$30/2,0)+IF(AND(E$363=2,$C$353&gt;Inputs!$C$33),Inputs!$C$31*Inputs!$C$30*Inputs!$C$36*($C$353-Inputs!$C$33),0)</f>
        <v>84</v>
      </c>
      <c r="F381" s="24" t="n">
        <f aca="false">IF(OR(F$363=1,F$363=2),Inputs!$C$31*Inputs!$C$30/2,0)+IF(AND(F$363=2,$C$353&gt;Inputs!$C$33),Inputs!$C$31*Inputs!$C$30*Inputs!$C$36*($C$353-Inputs!$C$33),0)</f>
        <v>84</v>
      </c>
      <c r="G381" s="24" t="n">
        <f aca="false">IF(OR(G$363=1,G$363=2),Inputs!$C$31*Inputs!$C$30/2,0)+IF(AND(G$363=2,$C$353&gt;Inputs!$C$33),Inputs!$C$31*Inputs!$C$30*Inputs!$C$36*($C$353-Inputs!$C$33),0)</f>
        <v>0</v>
      </c>
      <c r="H381" s="24" t="n">
        <f aca="false">IF(OR(H$363=1,H$363=2),Inputs!$C$31*Inputs!$C$30/2,0)+IF(AND(H$363=2,$C$353&gt;Inputs!$C$33),Inputs!$C$31*Inputs!$C$30*Inputs!$C$36*($C$353-Inputs!$C$33),0)</f>
        <v>0</v>
      </c>
      <c r="I381" s="24" t="n">
        <f aca="false">IF(OR(I$363=1,I$363=2),Inputs!$C$31*Inputs!$C$30/2,0)+IF(AND(I$363=2,$C$353&gt;Inputs!$C$33),Inputs!$C$31*Inputs!$C$30*Inputs!$C$36*($C$353-Inputs!$C$33),0)</f>
        <v>0</v>
      </c>
      <c r="J381" s="24" t="n">
        <f aca="false">IF(OR(J$363=1,J$363=2),Inputs!$C$31*Inputs!$C$30/2,0)+IF(AND(J$363=2,$C$353&gt;Inputs!$C$33),Inputs!$C$31*Inputs!$C$30*Inputs!$C$36*($C$353-Inputs!$C$33),0)</f>
        <v>0</v>
      </c>
      <c r="K381" s="24" t="n">
        <f aca="false">IF(OR(K$363=1,K$363=2),Inputs!$C$31*Inputs!$C$30/2,0)+IF(AND(K$363=2,$C$353&gt;Inputs!$C$33),Inputs!$C$31*Inputs!$C$30*Inputs!$C$36*($C$353-Inputs!$C$33),0)</f>
        <v>0</v>
      </c>
      <c r="L381" s="24" t="n">
        <f aca="false">IF(OR(L$363=1,L$363=2),Inputs!$C$31*Inputs!$C$30/2,0)+IF(AND(L$363=2,$C$353&gt;Inputs!$C$33),Inputs!$C$31*Inputs!$C$30*Inputs!$C$36*($C$353-Inputs!$C$33),0)</f>
        <v>0</v>
      </c>
      <c r="M381" s="24" t="n">
        <f aca="false">IF(OR(M$363=1,M$363=2),Inputs!$C$31*Inputs!$C$30/2,0)+IF(AND(M$363=2,$C$353&gt;Inputs!$C$33),Inputs!$C$31*Inputs!$C$30*Inputs!$C$36*($C$353-Inputs!$C$33),0)</f>
        <v>0</v>
      </c>
      <c r="N381" s="24" t="n">
        <f aca="false">IF(OR(N$363=1,N$363=2),Inputs!$C$31*Inputs!$C$30/2,0)+IF(AND(N$363=2,$C$353&gt;Inputs!$C$33),Inputs!$C$31*Inputs!$C$30*Inputs!$C$36*($C$353-Inputs!$C$33),0)</f>
        <v>0</v>
      </c>
      <c r="O381" s="24" t="n">
        <f aca="false">IF(OR(O$363=1,O$363=2),Inputs!$C$31*Inputs!$C$30/2,0)+IF(AND(O$363=2,$C$353&gt;Inputs!$C$33),Inputs!$C$31*Inputs!$C$30*Inputs!$C$36*($C$353-Inputs!$C$33),0)</f>
        <v>0</v>
      </c>
    </row>
    <row r="382" customFormat="false" ht="15" hidden="false" customHeight="false" outlineLevel="0" collapsed="false">
      <c r="B382" s="9" t="s">
        <v>160</v>
      </c>
      <c r="E382" s="24" t="n">
        <f aca="false">IF(E$363=Inputs!$C$9+1,Inputs!$C$6*IF($C$351="renew",Inputs!$C$44,IF($C$351="retrofit",Inputs!$C$45,IF($C$351="relet",Inputs!$C$55,0))),0)</f>
        <v>0</v>
      </c>
      <c r="F382" s="24" t="n">
        <f aca="false">IF(F$363=Inputs!$C$9+1,Inputs!$C$6*IF($C$351="renew",Inputs!$C$44,IF($C$351="retrofit",Inputs!$C$45,IF($C$351="relet",Inputs!$C$55,0))),0)</f>
        <v>0</v>
      </c>
      <c r="G382" s="24" t="n">
        <f aca="false">IF(G$363=Inputs!$C$9+1,Inputs!$C$6*IF($C$351="renew",Inputs!$C$44,IF($C$351="retrofit",Inputs!$C$45,IF($C$351="relet",Inputs!$C$55,0))),0)</f>
        <v>0</v>
      </c>
      <c r="H382" s="24" t="n">
        <f aca="false">IF(H$363=Inputs!$C$9+1,Inputs!$C$6*IF($C$351="renew",Inputs!$C$44,IF($C$351="retrofit",Inputs!$C$45,IF($C$351="relet",Inputs!$C$55,0))),0)</f>
        <v>0</v>
      </c>
      <c r="I382" s="24" t="n">
        <f aca="false">IF(I$363=Inputs!$C$9+1,Inputs!$C$6*IF($C$351="renew",Inputs!$C$44,IF($C$351="retrofit",Inputs!$C$45,IF($C$351="relet",Inputs!$C$55,0))),0)</f>
        <v>0</v>
      </c>
      <c r="J382" s="24" t="n">
        <f aca="false">IF(J$363=Inputs!$C$9+1,Inputs!$C$6*IF($C$351="renew",Inputs!$C$44,IF($C$351="retrofit",Inputs!$C$45,IF($C$351="relet",Inputs!$C$55,0))),0)</f>
        <v>0</v>
      </c>
      <c r="K382" s="24" t="n">
        <f aca="false">IF(K$363=Inputs!$C$9+1,Inputs!$C$6*IF($C$351="renew",Inputs!$C$44,IF($C$351="retrofit",Inputs!$C$45,IF($C$351="relet",Inputs!$C$55,0))),0)</f>
        <v>0</v>
      </c>
      <c r="L382" s="24" t="n">
        <f aca="false">IF(L$363=Inputs!$C$9+1,Inputs!$C$6*IF($C$351="renew",Inputs!$C$44,IF($C$351="retrofit",Inputs!$C$45,IF($C$351="relet",Inputs!$C$55,0))),0)</f>
        <v>0</v>
      </c>
      <c r="M382" s="24" t="n">
        <f aca="false">IF(M$363=Inputs!$C$9+1,Inputs!$C$6*IF($C$351="renew",Inputs!$C$44,IF($C$351="retrofit",Inputs!$C$45,IF($C$351="relet",Inputs!$C$55,0))),0)</f>
        <v>25.6</v>
      </c>
      <c r="N382" s="24" t="n">
        <f aca="false">IF(N$363=Inputs!$C$9+1,Inputs!$C$6*IF($C$351="renew",Inputs!$C$44,IF($C$351="retrofit",Inputs!$C$45,IF($C$351="relet",Inputs!$C$55,0))),0)</f>
        <v>0</v>
      </c>
      <c r="O382" s="24" t="n">
        <f aca="false">IF(O$363=Inputs!$C$9+1,Inputs!$C$6*IF($C$351="renew",Inputs!$C$44,IF($C$351="retrofit",Inputs!$C$45,IF($C$351="relet",Inputs!$C$55,0))),0)</f>
        <v>0</v>
      </c>
    </row>
    <row r="383" customFormat="false" ht="15" hidden="false" customHeight="false" outlineLevel="0" collapsed="false">
      <c r="B383" s="29" t="s">
        <v>161</v>
      </c>
      <c r="E383" s="30" t="n">
        <f aca="false">E379-E380-E381-E382</f>
        <v>-34.5159552</v>
      </c>
      <c r="F383" s="30" t="n">
        <f aca="false">F379-F380-F381-F382</f>
        <v>-33.197245056</v>
      </c>
      <c r="G383" s="30" t="n">
        <f aca="false">G379-G380-G381-G382</f>
        <v>79.21415009088</v>
      </c>
      <c r="H383" s="30" t="n">
        <f aca="false">H379-H380-H381-H382</f>
        <v>81.0938216246976</v>
      </c>
      <c r="I383" s="30" t="n">
        <f aca="false">I379-I380-I381-I382</f>
        <v>81.1249491641916</v>
      </c>
      <c r="J383" s="30" t="n">
        <f aca="false">J379-J380-J381-J382</f>
        <v>82.5497857067254</v>
      </c>
      <c r="K383" s="30" t="n">
        <f aca="false">K379-K380-K381-K382</f>
        <v>83.9979571836874</v>
      </c>
      <c r="L383" s="30" t="n">
        <f aca="false">L379-L380-L381-L382</f>
        <v>85.4697885868815</v>
      </c>
      <c r="M383" s="30" t="n">
        <f aca="false">M379-M380-M381-M382</f>
        <v>-3.45828934046687</v>
      </c>
      <c r="N383" s="30" t="n">
        <f aca="false">N379-N380-N381-N382</f>
        <v>74.4741947936482</v>
      </c>
      <c r="O383" s="30" t="n">
        <f aca="false">O379-O380-O381-O382</f>
        <v>104.761878696812</v>
      </c>
    </row>
    <row r="384" customFormat="false" ht="15" hidden="false" customHeight="false" outlineLevel="0" collapsed="false">
      <c r="B384" s="6" t="s">
        <v>162</v>
      </c>
    </row>
    <row r="386" customFormat="false" ht="15" hidden="false" customHeight="false" outlineLevel="0" collapsed="false">
      <c r="B386" s="9" t="s">
        <v>163</v>
      </c>
      <c r="C386" s="23" t="n">
        <f aca="false">IF($C$351="renew",Inputs!$C$67,IF($C$351="retrofit",Inputs!$C$68,IF($C$351="relet",Inputs!$C$69,Inputs!$C$70)))+$C$357</f>
        <v>0.0725</v>
      </c>
    </row>
    <row r="387" customFormat="false" ht="15" hidden="false" customHeight="false" outlineLevel="0" collapsed="false">
      <c r="B387" s="9" t="s">
        <v>164</v>
      </c>
      <c r="C387" s="24" t="n">
        <f aca="false">O374+O376-O377-Inputs!$C$12*O374</f>
        <v>32.1051648944678</v>
      </c>
    </row>
    <row r="388" customFormat="false" ht="15" hidden="false" customHeight="false" outlineLevel="0" collapsed="false">
      <c r="B388" s="9" t="s">
        <v>165</v>
      </c>
      <c r="C388" s="24" t="n">
        <f aca="false">O379-$C$387</f>
        <v>75.075763285164</v>
      </c>
    </row>
    <row r="389" customFormat="false" ht="15" hidden="false" customHeight="false" outlineLevel="0" collapsed="false">
      <c r="B389" s="9" t="s">
        <v>166</v>
      </c>
      <c r="C389" s="24" t="n">
        <f aca="false">IF($C$351="stranded",Inputs!$C$57*Inputs!$C$6-Inputs!$C$58,0)</f>
        <v>0</v>
      </c>
    </row>
    <row r="390" customFormat="false" ht="15" hidden="false" customHeight="false" outlineLevel="0" collapsed="false">
      <c r="B390" s="9" t="s">
        <v>167</v>
      </c>
      <c r="C390" s="24" t="n">
        <f aca="false">($C$387+$C$388)/$C$386+$C$389</f>
        <v>1478.35763006389</v>
      </c>
    </row>
    <row r="391" customFormat="false" ht="15" hidden="false" customHeight="false" outlineLevel="0" collapsed="false">
      <c r="B391" s="29" t="s">
        <v>168</v>
      </c>
      <c r="C391" s="30" t="n">
        <f aca="false">$C$390*(1-Inputs!$C$66)</f>
        <v>1456.18226561293</v>
      </c>
    </row>
    <row r="392" customFormat="false" ht="15" hidden="false" customHeight="false" outlineLevel="0" collapsed="false">
      <c r="B392" s="9" t="s">
        <v>169</v>
      </c>
      <c r="C392" s="24" t="n">
        <f aca="false">$C$361*(1+Inputs!$C$65)</f>
        <v>918</v>
      </c>
    </row>
    <row r="394" customFormat="false" ht="15" hidden="false" customHeight="false" outlineLevel="0" collapsed="false">
      <c r="B394" s="25" t="s">
        <v>170</v>
      </c>
      <c r="C394" s="26"/>
      <c r="D394" s="26" t="n">
        <v>0</v>
      </c>
      <c r="E394" s="26" t="n">
        <v>1</v>
      </c>
      <c r="F394" s="26" t="n">
        <v>2</v>
      </c>
      <c r="G394" s="26" t="n">
        <v>3</v>
      </c>
      <c r="H394" s="26" t="n">
        <v>4</v>
      </c>
      <c r="I394" s="26" t="n">
        <v>5</v>
      </c>
      <c r="J394" s="26" t="n">
        <v>6</v>
      </c>
      <c r="K394" s="26" t="n">
        <v>7</v>
      </c>
      <c r="L394" s="26" t="n">
        <v>8</v>
      </c>
      <c r="M394" s="26" t="n">
        <v>9</v>
      </c>
      <c r="N394" s="26" t="n">
        <v>10</v>
      </c>
    </row>
    <row r="395" customFormat="false" ht="15" hidden="false" customHeight="false" outlineLevel="0" collapsed="false">
      <c r="B395" s="29" t="s">
        <v>171</v>
      </c>
      <c r="D395" s="30" t="n">
        <f aca="false">-$C$392</f>
        <v>-918</v>
      </c>
      <c r="E395" s="30" t="n">
        <f aca="false">E383</f>
        <v>-34.5159552</v>
      </c>
      <c r="F395" s="30" t="n">
        <f aca="false">F383</f>
        <v>-33.197245056</v>
      </c>
      <c r="G395" s="30" t="n">
        <f aca="false">G383</f>
        <v>79.21415009088</v>
      </c>
      <c r="H395" s="30" t="n">
        <f aca="false">H383</f>
        <v>81.0938216246976</v>
      </c>
      <c r="I395" s="30" t="n">
        <f aca="false">I383</f>
        <v>81.1249491641916</v>
      </c>
      <c r="J395" s="30" t="n">
        <f aca="false">J383</f>
        <v>82.5497857067254</v>
      </c>
      <c r="K395" s="30" t="n">
        <f aca="false">K383</f>
        <v>83.9979571836874</v>
      </c>
      <c r="L395" s="30" t="n">
        <f aca="false">L383</f>
        <v>85.4697885868815</v>
      </c>
      <c r="M395" s="30" t="n">
        <f aca="false">M383</f>
        <v>-3.45828934046687</v>
      </c>
      <c r="N395" s="30" t="n">
        <f aca="false">N383+$C$391</f>
        <v>1530.65646040658</v>
      </c>
    </row>
    <row r="396" customFormat="false" ht="15" hidden="false" customHeight="false" outlineLevel="0" collapsed="false">
      <c r="B396" s="29" t="s">
        <v>172</v>
      </c>
      <c r="C396" s="31" t="n">
        <f aca="false">IRR(D395:N395,0.08)</f>
        <v>0.086882021409305</v>
      </c>
    </row>
    <row r="398" customFormat="false" ht="15" hidden="false" customHeight="false" outlineLevel="0" collapsed="false">
      <c r="B398" s="9" t="s">
        <v>180</v>
      </c>
      <c r="C398" s="24" t="n">
        <f aca="false">Inputs!$C$77*$C$361</f>
        <v>495</v>
      </c>
    </row>
    <row r="399" customFormat="false" ht="15" hidden="false" customHeight="false" outlineLevel="0" collapsed="false">
      <c r="B399" s="9" t="s">
        <v>181</v>
      </c>
      <c r="C399" s="24" t="n">
        <f aca="false">$C$398*Inputs!$C$78/(1-(1+Inputs!$C$78)^(-Inputs!$C$80))</f>
        <v>38.7222255150756</v>
      </c>
    </row>
    <row r="400" customFormat="false" ht="15" hidden="false" customHeight="false" outlineLevel="0" collapsed="false">
      <c r="B400" s="9" t="s">
        <v>182</v>
      </c>
      <c r="C400" s="24" t="n">
        <f aca="false">$C$398*(1+Inputs!$C$78)^(Inputs!$C$81-Inputs!$C$79)-$C$399*((1+Inputs!$C$78)^(Inputs!$C$81-Inputs!$C$79)-1)/Inputs!$C$78</f>
        <v>444.140876065435</v>
      </c>
    </row>
    <row r="401" customFormat="false" ht="15" hidden="false" customHeight="false" outlineLevel="0" collapsed="false">
      <c r="B401" s="9" t="s">
        <v>183</v>
      </c>
      <c r="C401" s="20" t="n">
        <f aca="false">IF($C$351="renew",1,0)</f>
        <v>0</v>
      </c>
    </row>
    <row r="402" customFormat="false" ht="15" hidden="false" customHeight="false" outlineLevel="0" collapsed="false">
      <c r="B402" s="9" t="s">
        <v>184</v>
      </c>
      <c r="C402" s="20" t="n">
        <f aca="false">IF($C$401=1,Inputs!$C$86,Inputs!$C$87)</f>
        <v>7</v>
      </c>
    </row>
    <row r="403" customFormat="false" ht="15" hidden="false" customHeight="false" outlineLevel="0" collapsed="false">
      <c r="B403" s="9" t="s">
        <v>185</v>
      </c>
      <c r="C403" s="24" t="n">
        <f aca="false">IF($C$401=1,INDEX($E$379:$O$379,(Inputs!$C$81+1))-INDEX($E$380:$O$380,(Inputs!$C$81+1)),INDEX($E$374:$O$374,(Inputs!$C$81+1))+INDEX($E$376:$O$376,(Inputs!$C$81+1))-INDEX($E$377:$O$377,(Inputs!$C$81+1))-Inputs!$C$12*INDEX($E$374:$O$374,(Inputs!$C$81+1))-Inputs!$C$39*(1+Inputs!$C$11)^((Inputs!$C$81+1)-1))</f>
        <v>29.7202049015907</v>
      </c>
    </row>
    <row r="404" customFormat="false" ht="15" hidden="false" customHeight="false" outlineLevel="0" collapsed="false">
      <c r="B404" s="9" t="s">
        <v>186</v>
      </c>
      <c r="C404" s="24" t="n">
        <f aca="false">$C$403/Inputs!$C$84</f>
        <v>21.2287177868505</v>
      </c>
    </row>
    <row r="405" customFormat="false" ht="15" hidden="false" customHeight="false" outlineLevel="0" collapsed="false">
      <c r="B405" s="9" t="s">
        <v>187</v>
      </c>
      <c r="C405" s="24" t="n">
        <f aca="false">$C$404*(1-(1+Inputs!$C$83)^(-$C$402))/Inputs!$C$83</f>
        <v>116.429322431369</v>
      </c>
    </row>
    <row r="406" customFormat="false" ht="15" hidden="false" customHeight="false" outlineLevel="0" collapsed="false">
      <c r="B406" s="9" t="s">
        <v>188</v>
      </c>
      <c r="C406" s="24" t="n">
        <f aca="false">$C$403/$C$386</f>
        <v>409.933860711596</v>
      </c>
    </row>
    <row r="407" customFormat="false" ht="15" hidden="false" customHeight="false" outlineLevel="0" collapsed="false">
      <c r="B407" s="9" t="s">
        <v>189</v>
      </c>
      <c r="C407" s="24" t="n">
        <f aca="false">Inputs!$C$85*$C$406</f>
        <v>225.463623391378</v>
      </c>
    </row>
    <row r="408" customFormat="false" ht="15" hidden="false" customHeight="false" outlineLevel="0" collapsed="false">
      <c r="B408" s="29" t="s">
        <v>190</v>
      </c>
      <c r="C408" s="30" t="n">
        <f aca="false">MIN($C$405,$C$407)</f>
        <v>116.429322431369</v>
      </c>
    </row>
    <row r="409" customFormat="false" ht="15" hidden="false" customHeight="false" outlineLevel="0" collapsed="false">
      <c r="B409" s="29" t="s">
        <v>191</v>
      </c>
      <c r="C409" s="30" t="n">
        <f aca="false">$C$408*(1-Inputs!$C$82)-$C$400</f>
        <v>-328.875846858379</v>
      </c>
    </row>
    <row r="410" customFormat="false" ht="15" hidden="false" customHeight="false" outlineLevel="0" collapsed="false">
      <c r="B410" s="9" t="s">
        <v>192</v>
      </c>
      <c r="C410" s="24" t="n">
        <f aca="false">$C$408*Inputs!$C$83/(1-(1+Inputs!$C$83)^(-$C$402))</f>
        <v>21.2287177868505</v>
      </c>
    </row>
    <row r="412" customFormat="false" ht="15" hidden="false" customHeight="false" outlineLevel="0" collapsed="false">
      <c r="B412" s="25" t="s">
        <v>193</v>
      </c>
      <c r="C412" s="26"/>
      <c r="D412" s="26" t="n">
        <v>0</v>
      </c>
      <c r="E412" s="26" t="n">
        <v>1</v>
      </c>
      <c r="F412" s="26" t="n">
        <v>2</v>
      </c>
      <c r="G412" s="26" t="n">
        <v>3</v>
      </c>
      <c r="H412" s="26" t="n">
        <v>4</v>
      </c>
      <c r="I412" s="26" t="n">
        <v>5</v>
      </c>
      <c r="J412" s="26" t="n">
        <v>6</v>
      </c>
      <c r="K412" s="26" t="n">
        <v>7</v>
      </c>
      <c r="L412" s="26" t="n">
        <v>8</v>
      </c>
      <c r="M412" s="26" t="n">
        <v>9</v>
      </c>
      <c r="N412" s="26" t="n">
        <v>10</v>
      </c>
    </row>
    <row r="413" customFormat="false" ht="15" hidden="false" customHeight="false" outlineLevel="0" collapsed="false">
      <c r="B413" s="9" t="s">
        <v>194</v>
      </c>
      <c r="E413" s="24" t="n">
        <f aca="false">$C$398</f>
        <v>495</v>
      </c>
      <c r="F413" s="24" t="n">
        <f aca="false">IF(F$412=Inputs!$C$81+1,$C$408,E417)</f>
        <v>495</v>
      </c>
      <c r="G413" s="24" t="n">
        <f aca="false">IF(G$412=Inputs!$C$81+1,$C$408,F417)</f>
        <v>495</v>
      </c>
      <c r="H413" s="24" t="n">
        <f aca="false">IF(H$412=Inputs!$C$81+1,$C$408,G417)</f>
        <v>485.977774484924</v>
      </c>
      <c r="I413" s="24" t="n">
        <f aca="false">IF(I$412=Inputs!$C$81+1,$C$408,H417)</f>
        <v>476.414215438944</v>
      </c>
      <c r="J413" s="24" t="n">
        <f aca="false">IF(J$412=Inputs!$C$81+1,$C$408,I417)</f>
        <v>466.276842850205</v>
      </c>
      <c r="K413" s="24" t="n">
        <f aca="false">IF(K$412=Inputs!$C$81+1,$C$408,J417)</f>
        <v>455.531227906142</v>
      </c>
      <c r="L413" s="24" t="n">
        <f aca="false">IF(L$412=Inputs!$C$81+1,$C$408,K417)</f>
        <v>116.429322431369</v>
      </c>
      <c r="M413" s="24" t="n">
        <f aca="false">IF(M$412=Inputs!$C$81+1,$C$408,L417)</f>
        <v>102.768510602558</v>
      </c>
      <c r="N413" s="24" t="n">
        <f aca="false">IF(N$412=Inputs!$C$81+1,$C$408,M417)</f>
        <v>88.2197460048735</v>
      </c>
    </row>
    <row r="414" customFormat="false" ht="15" hidden="false" customHeight="false" outlineLevel="0" collapsed="false">
      <c r="B414" s="9" t="s">
        <v>195</v>
      </c>
      <c r="E414" s="23" t="n">
        <f aca="false">IF(E$412&lt;=Inputs!$C$81,Inputs!$C$78,Inputs!$C$83)</f>
        <v>0.06</v>
      </c>
      <c r="F414" s="23" t="n">
        <f aca="false">IF(F$412&lt;=Inputs!$C$81,Inputs!$C$78,Inputs!$C$83)</f>
        <v>0.06</v>
      </c>
      <c r="G414" s="23" t="n">
        <f aca="false">IF(G$412&lt;=Inputs!$C$81,Inputs!$C$78,Inputs!$C$83)</f>
        <v>0.06</v>
      </c>
      <c r="H414" s="23" t="n">
        <f aca="false">IF(H$412&lt;=Inputs!$C$81,Inputs!$C$78,Inputs!$C$83)</f>
        <v>0.06</v>
      </c>
      <c r="I414" s="23" t="n">
        <f aca="false">IF(I$412&lt;=Inputs!$C$81,Inputs!$C$78,Inputs!$C$83)</f>
        <v>0.06</v>
      </c>
      <c r="J414" s="23" t="n">
        <f aca="false">IF(J$412&lt;=Inputs!$C$81,Inputs!$C$78,Inputs!$C$83)</f>
        <v>0.06</v>
      </c>
      <c r="K414" s="23" t="n">
        <f aca="false">IF(K$412&lt;=Inputs!$C$81,Inputs!$C$78,Inputs!$C$83)</f>
        <v>0.06</v>
      </c>
      <c r="L414" s="23" t="n">
        <f aca="false">IF(L$412&lt;=Inputs!$C$81,Inputs!$C$78,Inputs!$C$83)</f>
        <v>0.065</v>
      </c>
      <c r="M414" s="23" t="n">
        <f aca="false">IF(M$412&lt;=Inputs!$C$81,Inputs!$C$78,Inputs!$C$83)</f>
        <v>0.065</v>
      </c>
      <c r="N414" s="23" t="n">
        <f aca="false">IF(N$412&lt;=Inputs!$C$81,Inputs!$C$78,Inputs!$C$83)</f>
        <v>0.065</v>
      </c>
    </row>
    <row r="415" customFormat="false" ht="15" hidden="false" customHeight="false" outlineLevel="0" collapsed="false">
      <c r="B415" s="9" t="s">
        <v>196</v>
      </c>
      <c r="E415" s="24" t="n">
        <f aca="false">E413*E414</f>
        <v>29.7</v>
      </c>
      <c r="F415" s="24" t="n">
        <f aca="false">F413*F414</f>
        <v>29.7</v>
      </c>
      <c r="G415" s="24" t="n">
        <f aca="false">G413*G414</f>
        <v>29.7</v>
      </c>
      <c r="H415" s="24" t="n">
        <f aca="false">H413*H414</f>
        <v>29.1586664690955</v>
      </c>
      <c r="I415" s="24" t="n">
        <f aca="false">I413*I414</f>
        <v>28.5848529263367</v>
      </c>
      <c r="J415" s="24" t="n">
        <f aca="false">J413*J414</f>
        <v>27.9766105710123</v>
      </c>
      <c r="K415" s="24" t="n">
        <f aca="false">K413*K414</f>
        <v>27.3318736743685</v>
      </c>
      <c r="L415" s="24" t="n">
        <f aca="false">L413*L414</f>
        <v>7.567905958039</v>
      </c>
      <c r="M415" s="24" t="n">
        <f aca="false">M413*M414</f>
        <v>6.67995318916626</v>
      </c>
      <c r="N415" s="24" t="n">
        <f aca="false">N413*N414</f>
        <v>5.73428349031678</v>
      </c>
    </row>
    <row r="416" customFormat="false" ht="15" hidden="false" customHeight="false" outlineLevel="0" collapsed="false">
      <c r="B416" s="9" t="s">
        <v>197</v>
      </c>
      <c r="E416" s="24" t="n">
        <f aca="false">IF(E$412&lt;=Inputs!$C$81,IF(E$412&lt;=Inputs!$C$79,0,$C$399-E415),$C$410-E415)</f>
        <v>0</v>
      </c>
      <c r="F416" s="24" t="n">
        <f aca="false">IF(F$412&lt;=Inputs!$C$81,IF(F$412&lt;=Inputs!$C$79,0,$C$399-F415),$C$410-F415)</f>
        <v>0</v>
      </c>
      <c r="G416" s="24" t="n">
        <f aca="false">IF(G$412&lt;=Inputs!$C$81,IF(G$412&lt;=Inputs!$C$79,0,$C$399-G415),$C$410-G415)</f>
        <v>9.0222255150756</v>
      </c>
      <c r="H416" s="24" t="n">
        <f aca="false">IF(H$412&lt;=Inputs!$C$81,IF(H$412&lt;=Inputs!$C$79,0,$C$399-H415),$C$410-H415)</f>
        <v>9.56355904598014</v>
      </c>
      <c r="I416" s="24" t="n">
        <f aca="false">IF(I$412&lt;=Inputs!$C$81,IF(I$412&lt;=Inputs!$C$79,0,$C$399-I415),$C$410-I415)</f>
        <v>10.1373725887389</v>
      </c>
      <c r="J416" s="24" t="n">
        <f aca="false">IF(J$412&lt;=Inputs!$C$81,IF(J$412&lt;=Inputs!$C$79,0,$C$399-J415),$C$410-J415)</f>
        <v>10.7456149440633</v>
      </c>
      <c r="K416" s="24" t="n">
        <f aca="false">IF(K$412&lt;=Inputs!$C$81,IF(K$412&lt;=Inputs!$C$79,0,$C$399-K415),$C$410-K415)</f>
        <v>11.3903518407071</v>
      </c>
      <c r="L416" s="24" t="n">
        <f aca="false">IF(L$412&lt;=Inputs!$C$81,IF(L$412&lt;=Inputs!$C$79,0,$C$399-L415),$C$410-L415)</f>
        <v>13.6608118288115</v>
      </c>
      <c r="M416" s="24" t="n">
        <f aca="false">IF(M$412&lt;=Inputs!$C$81,IF(M$412&lt;=Inputs!$C$79,0,$C$399-M415),$C$410-M415)</f>
        <v>14.5487645976842</v>
      </c>
      <c r="N416" s="24" t="n">
        <f aca="false">IF(N$412&lt;=Inputs!$C$81,IF(N$412&lt;=Inputs!$C$79,0,$C$399-N415),$C$410-N415)</f>
        <v>15.4944342965337</v>
      </c>
    </row>
    <row r="417" customFormat="false" ht="15" hidden="false" customHeight="false" outlineLevel="0" collapsed="false">
      <c r="B417" s="29" t="s">
        <v>198</v>
      </c>
      <c r="E417" s="30" t="n">
        <f aca="false">E413-E416</f>
        <v>495</v>
      </c>
      <c r="F417" s="30" t="n">
        <f aca="false">F413-F416</f>
        <v>495</v>
      </c>
      <c r="G417" s="30" t="n">
        <f aca="false">G413-G416</f>
        <v>485.977774484924</v>
      </c>
      <c r="H417" s="30" t="n">
        <f aca="false">H413-H416</f>
        <v>476.414215438944</v>
      </c>
      <c r="I417" s="30" t="n">
        <f aca="false">I413-I416</f>
        <v>466.276842850205</v>
      </c>
      <c r="J417" s="30" t="n">
        <f aca="false">J413-J416</f>
        <v>455.531227906142</v>
      </c>
      <c r="K417" s="30" t="n">
        <f aca="false">K413-K416</f>
        <v>444.140876065435</v>
      </c>
      <c r="L417" s="30" t="n">
        <f aca="false">L413-L416</f>
        <v>102.768510602558</v>
      </c>
      <c r="M417" s="30" t="n">
        <f aca="false">M413-M416</f>
        <v>88.2197460048735</v>
      </c>
      <c r="N417" s="30" t="n">
        <f aca="false">N413-N416</f>
        <v>72.7253117083398</v>
      </c>
    </row>
    <row r="418" customFormat="false" ht="15" hidden="false" customHeight="false" outlineLevel="0" collapsed="false">
      <c r="B418" s="9" t="s">
        <v>199</v>
      </c>
      <c r="E418" s="24" t="n">
        <f aca="false">E415+E416</f>
        <v>29.7</v>
      </c>
      <c r="F418" s="24" t="n">
        <f aca="false">F415+F416</f>
        <v>29.7</v>
      </c>
      <c r="G418" s="24" t="n">
        <f aca="false">G415+G416</f>
        <v>38.7222255150756</v>
      </c>
      <c r="H418" s="24" t="n">
        <f aca="false">H415+H416</f>
        <v>38.7222255150756</v>
      </c>
      <c r="I418" s="24" t="n">
        <f aca="false">I415+I416</f>
        <v>38.7222255150756</v>
      </c>
      <c r="J418" s="24" t="n">
        <f aca="false">J415+J416</f>
        <v>38.7222255150756</v>
      </c>
      <c r="K418" s="24" t="n">
        <f aca="false">K415+K416</f>
        <v>38.7222255150756</v>
      </c>
      <c r="L418" s="24" t="n">
        <f aca="false">L415+L416</f>
        <v>21.2287177868505</v>
      </c>
      <c r="M418" s="24" t="n">
        <f aca="false">M415+M416</f>
        <v>21.2287177868505</v>
      </c>
      <c r="N418" s="24" t="n">
        <f aca="false">N415+N416</f>
        <v>21.2287177868505</v>
      </c>
    </row>
    <row r="419" customFormat="false" ht="15" hidden="false" customHeight="false" outlineLevel="0" collapsed="false">
      <c r="B419" s="9" t="s">
        <v>200</v>
      </c>
      <c r="E419" s="22" t="n">
        <f aca="false">(E379-E380)/E418</f>
        <v>1.66612945454545</v>
      </c>
      <c r="F419" s="22" t="n">
        <f aca="false">(F379-F380)/F418</f>
        <v>1.71053046949495</v>
      </c>
      <c r="G419" s="22" t="n">
        <f aca="false">(G379-G380)/G418</f>
        <v>2.04570241088131</v>
      </c>
      <c r="H419" s="22" t="n">
        <f aca="false">(H379-H380)/H418</f>
        <v>2.09424485669414</v>
      </c>
      <c r="I419" s="22" t="n">
        <f aca="false">(I379-I380)/I418</f>
        <v>2.09504872421673</v>
      </c>
      <c r="J419" s="22" t="n">
        <f aca="false">(J379-J380)/J418</f>
        <v>2.13184507369254</v>
      </c>
      <c r="K419" s="22" t="n">
        <f aca="false">(K379-K380)/K418</f>
        <v>2.16924404696173</v>
      </c>
      <c r="L419" s="22" t="n">
        <f aca="false">(L379-L380)/L418</f>
        <v>4.02613994142516</v>
      </c>
      <c r="M419" s="22" t="n">
        <f aca="false">(M379-M380)/M418</f>
        <v>1.04300744311784</v>
      </c>
      <c r="N419" s="22" t="n">
        <f aca="false">(N379-N380)/N418</f>
        <v>3.50818148987684</v>
      </c>
    </row>
    <row r="420" customFormat="false" ht="15" hidden="false" customHeight="false" outlineLevel="0" collapsed="false">
      <c r="B420" s="29" t="s">
        <v>201</v>
      </c>
      <c r="C420" s="32" t="n">
        <f aca="false">MIN(I419:K419)</f>
        <v>2.09504872421673</v>
      </c>
    </row>
    <row r="422" customFormat="false" ht="15" hidden="false" customHeight="false" outlineLevel="0" collapsed="false">
      <c r="B422" s="25" t="s">
        <v>202</v>
      </c>
      <c r="C422" s="26"/>
      <c r="D422" s="26" t="n">
        <v>0</v>
      </c>
      <c r="E422" s="26" t="n">
        <v>1</v>
      </c>
      <c r="F422" s="26" t="n">
        <v>2</v>
      </c>
      <c r="G422" s="26" t="n">
        <v>3</v>
      </c>
      <c r="H422" s="26" t="n">
        <v>4</v>
      </c>
      <c r="I422" s="26" t="n">
        <v>5</v>
      </c>
      <c r="J422" s="26" t="n">
        <v>6</v>
      </c>
      <c r="K422" s="26" t="n">
        <v>7</v>
      </c>
      <c r="L422" s="26" t="n">
        <v>8</v>
      </c>
      <c r="M422" s="26" t="n">
        <v>9</v>
      </c>
      <c r="N422" s="26" t="n">
        <v>10</v>
      </c>
    </row>
    <row r="423" customFormat="false" ht="15" hidden="false" customHeight="false" outlineLevel="0" collapsed="false">
      <c r="B423" s="9" t="s">
        <v>203</v>
      </c>
      <c r="D423" s="24" t="n">
        <f aca="false">$C$398*(1-Inputs!$C$82)</f>
        <v>490.05</v>
      </c>
      <c r="E423" s="24" t="n">
        <f aca="false">-E418+IF(E$412=Inputs!$C$81,$C$409,0)</f>
        <v>-29.7</v>
      </c>
      <c r="F423" s="24" t="n">
        <f aca="false">-F418+IF(F$412=Inputs!$C$81,$C$409,0)</f>
        <v>-29.7</v>
      </c>
      <c r="G423" s="24" t="n">
        <f aca="false">-G418+IF(G$412=Inputs!$C$81,$C$409,0)</f>
        <v>-38.7222255150756</v>
      </c>
      <c r="H423" s="24" t="n">
        <f aca="false">-H418+IF(H$412=Inputs!$C$81,$C$409,0)</f>
        <v>-38.7222255150756</v>
      </c>
      <c r="I423" s="24" t="n">
        <f aca="false">-I418+IF(I$412=Inputs!$C$81,$C$409,0)</f>
        <v>-38.7222255150756</v>
      </c>
      <c r="J423" s="24" t="n">
        <f aca="false">-J418+IF(J$412=Inputs!$C$81,$C$409,0)</f>
        <v>-38.7222255150756</v>
      </c>
      <c r="K423" s="24" t="n">
        <f aca="false">-K418+IF(K$412=Inputs!$C$81,$C$409,0)</f>
        <v>-367.598072373455</v>
      </c>
      <c r="L423" s="24" t="n">
        <f aca="false">-L418+IF(L$412=Inputs!$C$81,$C$409,0)</f>
        <v>-21.2287177868505</v>
      </c>
      <c r="M423" s="24" t="n">
        <f aca="false">-M418+IF(M$412=Inputs!$C$81,$C$409,0)</f>
        <v>-21.2287177868505</v>
      </c>
      <c r="N423" s="24" t="n">
        <f aca="false">-N418+IF(N$412=Inputs!$C$81,$C$409,0)-N417</f>
        <v>-93.9540294951903</v>
      </c>
    </row>
    <row r="424" customFormat="false" ht="15" hidden="false" customHeight="false" outlineLevel="0" collapsed="false">
      <c r="B424" s="29" t="s">
        <v>202</v>
      </c>
      <c r="D424" s="30" t="n">
        <f aca="false">D395+D423</f>
        <v>-427.95</v>
      </c>
      <c r="E424" s="30" t="n">
        <f aca="false">E395+E423</f>
        <v>-64.2159552</v>
      </c>
      <c r="F424" s="30" t="n">
        <f aca="false">F395+F423</f>
        <v>-62.897245056</v>
      </c>
      <c r="G424" s="30" t="n">
        <f aca="false">G395+G423</f>
        <v>40.4919245758044</v>
      </c>
      <c r="H424" s="30" t="n">
        <f aca="false">H395+H423</f>
        <v>42.371596109622</v>
      </c>
      <c r="I424" s="30" t="n">
        <f aca="false">I395+I423</f>
        <v>42.4027236491159</v>
      </c>
      <c r="J424" s="30" t="n">
        <f aca="false">J395+J423</f>
        <v>43.8275601916498</v>
      </c>
      <c r="K424" s="30" t="n">
        <f aca="false">K395+K423</f>
        <v>-283.600115189768</v>
      </c>
      <c r="L424" s="30" t="n">
        <f aca="false">L395+L423</f>
        <v>64.241070800031</v>
      </c>
      <c r="M424" s="30" t="n">
        <f aca="false">M395+M423</f>
        <v>-24.6870071273174</v>
      </c>
      <c r="N424" s="30" t="n">
        <f aca="false">N395+N423</f>
        <v>1436.70243091139</v>
      </c>
    </row>
    <row r="425" customFormat="false" ht="15" hidden="false" customHeight="false" outlineLevel="0" collapsed="false">
      <c r="B425" s="29" t="s">
        <v>204</v>
      </c>
      <c r="C425" s="31" t="n">
        <f aca="false">IRR(D424:N424,0.08)</f>
        <v>0.1</v>
      </c>
    </row>
    <row r="426" customFormat="false" ht="15" hidden="false" customHeight="false" outlineLevel="0" collapsed="false">
      <c r="B426" s="9" t="s">
        <v>205</v>
      </c>
      <c r="C426" s="33" t="n">
        <f aca="false">SUMIF(D424:N424,"&gt;0")/-SUMIF(D424:N424,"&lt;0")</f>
        <v>1.93436808045698</v>
      </c>
    </row>
    <row r="427" customFormat="false" ht="15" hidden="false" customHeight="false" outlineLevel="0" collapsed="false">
      <c r="B427" s="9" t="s">
        <v>206</v>
      </c>
      <c r="C427" s="24" t="n">
        <f aca="false">-D424</f>
        <v>427.95</v>
      </c>
    </row>
    <row r="429" customFormat="false" ht="15" hidden="false" customHeight="false" outlineLevel="0" collapsed="false">
      <c r="B429" s="29" t="s">
        <v>268</v>
      </c>
      <c r="C429" s="31" t="n">
        <f aca="false">Inputs!$C$97</f>
        <v>0.1</v>
      </c>
    </row>
    <row r="430" customFormat="false" ht="15" hidden="false" customHeight="false" outlineLevel="0" collapsed="false">
      <c r="B430" s="29" t="s">
        <v>269</v>
      </c>
      <c r="C430" s="31" t="n">
        <f aca="false">Thresholds!$C$425</f>
        <v>0.1</v>
      </c>
    </row>
    <row r="431" customFormat="false" ht="15" hidden="false" customHeight="false" outlineLevel="0" collapsed="false">
      <c r="B431" s="29" t="s">
        <v>264</v>
      </c>
      <c r="C431" s="37" t="n">
        <f aca="false">C430-C429</f>
        <v>0</v>
      </c>
    </row>
    <row r="432" customFormat="false" ht="15" hidden="false" customHeight="false" outlineLevel="0" collapsed="false">
      <c r="B432" s="29" t="s">
        <v>265</v>
      </c>
      <c r="C432" s="38" t="str">
        <f aca="false">IF(ABS(C431)&lt;=0.000001,"OK","FAIL")</f>
        <v>OK</v>
      </c>
    </row>
    <row r="435" customFormat="false" ht="15" hidden="false" customHeight="false" outlineLevel="0" collapsed="false">
      <c r="B435" s="7" t="s">
        <v>278</v>
      </c>
      <c r="C435" s="8"/>
      <c r="D435" s="8"/>
      <c r="E435" s="8"/>
      <c r="F435" s="8"/>
      <c r="G435" s="8"/>
      <c r="H435" s="8"/>
      <c r="I435" s="8"/>
      <c r="J435" s="8"/>
      <c r="K435" s="8"/>
      <c r="L435" s="8"/>
      <c r="M435" s="8"/>
      <c r="N435" s="8"/>
      <c r="O435" s="8"/>
    </row>
    <row r="436" customFormat="false" ht="15" hidden="false" customHeight="false" outlineLevel="0" collapsed="false">
      <c r="B436" s="29" t="s">
        <v>279</v>
      </c>
      <c r="C436" s="41" t="n">
        <v>0.0635903461519973</v>
      </c>
      <c r="D436" s="6" t="s">
        <v>261</v>
      </c>
    </row>
    <row r="437" customFormat="false" ht="15" hidden="false" customHeight="false" outlineLevel="0" collapsed="false">
      <c r="B437" s="9" t="s">
        <v>130</v>
      </c>
      <c r="C437" s="18" t="str">
        <f aca="false">Inputs!$C$42</f>
        <v>renew</v>
      </c>
    </row>
    <row r="438" customFormat="false" ht="15" hidden="false" customHeight="false" outlineLevel="0" collapsed="false">
      <c r="B438" s="9" t="s">
        <v>131</v>
      </c>
      <c r="C438" s="19" t="n">
        <f aca="false">Inputs!$C$25</f>
        <v>0</v>
      </c>
    </row>
    <row r="439" customFormat="false" ht="15" hidden="false" customHeight="false" outlineLevel="0" collapsed="false">
      <c r="B439" s="9" t="s">
        <v>132</v>
      </c>
      <c r="C439" s="20" t="n">
        <f aca="false">Inputs!$C$32</f>
        <v>3</v>
      </c>
    </row>
    <row r="440" customFormat="false" ht="15" hidden="false" customHeight="false" outlineLevel="0" collapsed="false">
      <c r="B440" s="9" t="s">
        <v>133</v>
      </c>
      <c r="C440" s="13" t="n">
        <v>0</v>
      </c>
    </row>
    <row r="441" customFormat="false" ht="15" hidden="false" customHeight="false" outlineLevel="0" collapsed="false">
      <c r="B441" s="9" t="s">
        <v>134</v>
      </c>
      <c r="C441" s="21" t="n">
        <f aca="false">Inputs!$C$60</f>
        <v>0.45</v>
      </c>
    </row>
    <row r="442" customFormat="false" ht="15" hidden="false" customHeight="false" outlineLevel="0" collapsed="false">
      <c r="B442" s="9" t="s">
        <v>135</v>
      </c>
      <c r="C442" s="22" t="n">
        <f aca="false">Inputs!$C$61</f>
        <v>1.55</v>
      </c>
    </row>
    <row r="443" customFormat="false" ht="15" hidden="false" customHeight="false" outlineLevel="0" collapsed="false">
      <c r="B443" s="9" t="s">
        <v>136</v>
      </c>
      <c r="C443" s="23" t="n">
        <f aca="false">$C$436-Inputs!$C$67</f>
        <v>0.0010903461519973</v>
      </c>
    </row>
    <row r="444" customFormat="false" ht="15" hidden="false" customHeight="false" outlineLevel="0" collapsed="false">
      <c r="B444" s="9" t="s">
        <v>30</v>
      </c>
      <c r="C444" s="22" t="n">
        <f aca="false">Inputs!$C$18</f>
        <v>1.4</v>
      </c>
    </row>
    <row r="445" customFormat="false" ht="15" hidden="false" customHeight="false" outlineLevel="0" collapsed="false">
      <c r="B445" s="9" t="s">
        <v>137</v>
      </c>
      <c r="C445" s="19" t="n">
        <f aca="false">Inputs!$C$43</f>
        <v>0.9</v>
      </c>
    </row>
    <row r="446" customFormat="false" ht="15" hidden="false" customHeight="false" outlineLevel="0" collapsed="false">
      <c r="B446" s="9" t="s">
        <v>138</v>
      </c>
      <c r="C446" s="24" t="n">
        <f aca="false">Inputs!$C$49</f>
        <v>120</v>
      </c>
    </row>
    <row r="447" customFormat="false" ht="15" hidden="false" customHeight="false" outlineLevel="0" collapsed="false">
      <c r="B447" s="9" t="s">
        <v>139</v>
      </c>
      <c r="C447" s="24" t="n">
        <f aca="false">Inputs!$C$64</f>
        <v>900</v>
      </c>
    </row>
    <row r="448" customFormat="false" ht="15" hidden="false" customHeight="false" outlineLevel="0" collapsed="false">
      <c r="B448" s="9" t="s">
        <v>140</v>
      </c>
      <c r="C448" s="24" t="n">
        <f aca="false">Inputs!$C$6*1000*Inputs!$C$7*12*(1+Inputs!$C$8)^(Inputs!$C$9-1)/1000000</f>
        <v>60.8711509000706</v>
      </c>
    </row>
    <row r="449" customFormat="false" ht="15" hidden="false" customHeight="false" outlineLevel="0" collapsed="false">
      <c r="B449" s="25" t="s">
        <v>141</v>
      </c>
      <c r="C449" s="26"/>
      <c r="E449" s="26" t="n">
        <v>1</v>
      </c>
      <c r="F449" s="26" t="n">
        <v>2</v>
      </c>
      <c r="G449" s="26" t="n">
        <v>3</v>
      </c>
      <c r="H449" s="26" t="n">
        <v>4</v>
      </c>
      <c r="I449" s="26" t="n">
        <v>5</v>
      </c>
      <c r="J449" s="26" t="n">
        <v>6</v>
      </c>
      <c r="K449" s="26" t="n">
        <v>7</v>
      </c>
      <c r="L449" s="26" t="n">
        <v>8</v>
      </c>
      <c r="M449" s="26" t="n">
        <v>9</v>
      </c>
      <c r="N449" s="26" t="n">
        <v>10</v>
      </c>
      <c r="O449" s="26" t="n">
        <v>11</v>
      </c>
    </row>
    <row r="450" customFormat="false" ht="15" hidden="false" customHeight="false" outlineLevel="0" collapsed="false">
      <c r="B450" s="9" t="s">
        <v>142</v>
      </c>
      <c r="E450" s="24" t="n">
        <f aca="false">IF(E$449&lt;=Inputs!$C$22,Inputs!$C$21,Inputs!$C$23*(1+Inputs!$C$24)^(E$449-5)*IF(AND($C$438&lt;&gt;0,E$449&gt;=Inputs!$C$26),1+$C$438,1))</f>
        <v>61</v>
      </c>
      <c r="F450" s="24" t="n">
        <f aca="false">IF(F$449&lt;=Inputs!$C$22,Inputs!$C$21,Inputs!$C$23*(1+Inputs!$C$24)^(F$449-5)*IF(AND($C$438&lt;&gt;0,F$449&gt;=Inputs!$C$26),1+$C$438,1))</f>
        <v>61</v>
      </c>
      <c r="G450" s="24" t="n">
        <f aca="false">IF(G$449&lt;=Inputs!$C$22,Inputs!$C$21,Inputs!$C$23*(1+Inputs!$C$24)^(G$449-5)*IF(AND($C$438&lt;&gt;0,G$449&gt;=Inputs!$C$26),1+$C$438,1))</f>
        <v>61</v>
      </c>
      <c r="H450" s="24" t="n">
        <f aca="false">IF(H$449&lt;=Inputs!$C$22,Inputs!$C$21,Inputs!$C$23*(1+Inputs!$C$24)^(H$449-5)*IF(AND($C$438&lt;&gt;0,H$449&gt;=Inputs!$C$26),1+$C$438,1))</f>
        <v>61</v>
      </c>
      <c r="I450" s="24" t="n">
        <f aca="false">IF(I$449&lt;=Inputs!$C$22,Inputs!$C$21,Inputs!$C$23*(1+Inputs!$C$24)^(I$449-5)*IF(AND($C$438&lt;&gt;0,I$449&gt;=Inputs!$C$26),1+$C$438,1))</f>
        <v>67</v>
      </c>
      <c r="J450" s="24" t="n">
        <f aca="false">IF(J$449&lt;=Inputs!$C$22,Inputs!$C$21,Inputs!$C$23*(1+Inputs!$C$24)^(J$449-5)*IF(AND($C$438&lt;&gt;0,J$449&gt;=Inputs!$C$26),1+$C$438,1))</f>
        <v>68.675</v>
      </c>
      <c r="K450" s="24" t="n">
        <f aca="false">IF(K$449&lt;=Inputs!$C$22,Inputs!$C$21,Inputs!$C$23*(1+Inputs!$C$24)^(K$449-5)*IF(AND($C$438&lt;&gt;0,K$449&gt;=Inputs!$C$26),1+$C$438,1))</f>
        <v>70.391875</v>
      </c>
      <c r="L450" s="24" t="n">
        <f aca="false">IF(L$449&lt;=Inputs!$C$22,Inputs!$C$21,Inputs!$C$23*(1+Inputs!$C$24)^(L$449-5)*IF(AND($C$438&lt;&gt;0,L$449&gt;=Inputs!$C$26),1+$C$438,1))</f>
        <v>72.151671875</v>
      </c>
      <c r="M450" s="24" t="n">
        <f aca="false">IF(M$449&lt;=Inputs!$C$22,Inputs!$C$21,Inputs!$C$23*(1+Inputs!$C$24)^(M$449-5)*IF(AND($C$438&lt;&gt;0,M$449&gt;=Inputs!$C$26),1+$C$438,1))</f>
        <v>73.955463671875</v>
      </c>
      <c r="N450" s="24" t="n">
        <f aca="false">IF(N$449&lt;=Inputs!$C$22,Inputs!$C$21,Inputs!$C$23*(1+Inputs!$C$24)^(N$449-5)*IF(AND($C$438&lt;&gt;0,N$449&gt;=Inputs!$C$26),1+$C$438,1))</f>
        <v>75.8043502636718</v>
      </c>
      <c r="O450" s="24" t="n">
        <f aca="false">IF(O$449&lt;=Inputs!$C$22,Inputs!$C$21,Inputs!$C$23*(1+Inputs!$C$24)^(O$449-5)*IF(AND($C$438&lt;&gt;0,O$449&gt;=Inputs!$C$26),1+$C$438,1))</f>
        <v>77.6994590202636</v>
      </c>
    </row>
    <row r="451" customFormat="false" ht="15" hidden="false" customHeight="false" outlineLevel="0" collapsed="false">
      <c r="B451" s="9" t="s">
        <v>143</v>
      </c>
      <c r="E451" s="24" t="n">
        <f aca="false">Inputs!$C$19*(1+Inputs!$C$20)^(E$449-1)</f>
        <v>74</v>
      </c>
      <c r="F451" s="24" t="n">
        <f aca="false">Inputs!$C$19*(1+Inputs!$C$20)^(F$449-1)</f>
        <v>75.48</v>
      </c>
      <c r="G451" s="24" t="n">
        <f aca="false">Inputs!$C$19*(1+Inputs!$C$20)^(G$449-1)</f>
        <v>76.9896</v>
      </c>
      <c r="H451" s="24" t="n">
        <f aca="false">Inputs!$C$19*(1+Inputs!$C$20)^(H$449-1)</f>
        <v>78.529392</v>
      </c>
      <c r="I451" s="24" t="n">
        <f aca="false">Inputs!$C$19*(1+Inputs!$C$20)^(I$449-1)</f>
        <v>80.09997984</v>
      </c>
      <c r="J451" s="24" t="n">
        <f aca="false">Inputs!$C$19*(1+Inputs!$C$20)^(J$449-1)</f>
        <v>81.7019794368</v>
      </c>
      <c r="K451" s="24" t="n">
        <f aca="false">Inputs!$C$19*(1+Inputs!$C$20)^(K$449-1)</f>
        <v>83.336019025536</v>
      </c>
      <c r="L451" s="24" t="n">
        <f aca="false">Inputs!$C$19*(1+Inputs!$C$20)^(L$449-1)</f>
        <v>85.0027394060467</v>
      </c>
      <c r="M451" s="24" t="n">
        <f aca="false">Inputs!$C$19*(1+Inputs!$C$20)^(M$449-1)</f>
        <v>86.7027941941677</v>
      </c>
      <c r="N451" s="24" t="n">
        <f aca="false">Inputs!$C$19*(1+Inputs!$C$20)^(N$449-1)</f>
        <v>88.436850078051</v>
      </c>
      <c r="O451" s="24" t="n">
        <f aca="false">Inputs!$C$19*(1+Inputs!$C$20)^(O$449-1)</f>
        <v>90.205587079612</v>
      </c>
    </row>
    <row r="452" customFormat="false" ht="15" hidden="false" customHeight="false" outlineLevel="0" collapsed="false">
      <c r="B452" s="9" t="s">
        <v>144</v>
      </c>
      <c r="E452" s="27" t="n">
        <f aca="false">(1+Inputs!$C$11)^(E$449-1)</f>
        <v>1</v>
      </c>
      <c r="F452" s="27" t="n">
        <f aca="false">(1+Inputs!$C$11)^(F$449-1)</f>
        <v>1.03</v>
      </c>
      <c r="G452" s="27" t="n">
        <f aca="false">(1+Inputs!$C$11)^(G$449-1)</f>
        <v>1.0609</v>
      </c>
      <c r="H452" s="27" t="n">
        <f aca="false">(1+Inputs!$C$11)^(H$449-1)</f>
        <v>1.092727</v>
      </c>
      <c r="I452" s="27" t="n">
        <f aca="false">(1+Inputs!$C$11)^(I$449-1)</f>
        <v>1.12550881</v>
      </c>
      <c r="J452" s="27" t="n">
        <f aca="false">(1+Inputs!$C$11)^(J$449-1)</f>
        <v>1.1592740743</v>
      </c>
      <c r="K452" s="27" t="n">
        <f aca="false">(1+Inputs!$C$11)^(K$449-1)</f>
        <v>1.194052296529</v>
      </c>
      <c r="L452" s="27" t="n">
        <f aca="false">(1+Inputs!$C$11)^(L$449-1)</f>
        <v>1.22987386542487</v>
      </c>
      <c r="M452" s="27" t="n">
        <f aca="false">(1+Inputs!$C$11)^(M$449-1)</f>
        <v>1.26677008138762</v>
      </c>
      <c r="N452" s="27" t="n">
        <f aca="false">(1+Inputs!$C$11)^(N$449-1)</f>
        <v>1.30477318382925</v>
      </c>
      <c r="O452" s="27" t="n">
        <f aca="false">(1+Inputs!$C$11)^(O$449-1)</f>
        <v>1.34391637934412</v>
      </c>
    </row>
    <row r="453" customFormat="false" ht="15" hidden="false" customHeight="false" outlineLevel="0" collapsed="false">
      <c r="B453" s="9" t="s">
        <v>145</v>
      </c>
      <c r="E453" s="19" t="n">
        <f aca="false">IF(OR(E$449&lt;=Inputs!$C$9,$C$437="renew"),IF(AND($C$440&gt;0,E$449&gt;=$C$440),$C$441,Inputs!$C$16),IF($C$437="stranded",0,Inputs!$C$16))</f>
        <v>0.8</v>
      </c>
      <c r="F453" s="19" t="n">
        <f aca="false">IF(OR(F$449&lt;=Inputs!$C$9,$C$437="renew"),IF(AND($C$440&gt;0,F$449&gt;=$C$440),$C$441,Inputs!$C$16),IF($C$437="stranded",0,Inputs!$C$16))</f>
        <v>0.8</v>
      </c>
      <c r="G453" s="19" t="n">
        <f aca="false">IF(OR(G$449&lt;=Inputs!$C$9,$C$437="renew"),IF(AND($C$440&gt;0,G$449&gt;=$C$440),$C$441,Inputs!$C$16),IF($C$437="stranded",0,Inputs!$C$16))</f>
        <v>0.8</v>
      </c>
      <c r="H453" s="19" t="n">
        <f aca="false">IF(OR(H$449&lt;=Inputs!$C$9,$C$437="renew"),IF(AND($C$440&gt;0,H$449&gt;=$C$440),$C$441,Inputs!$C$16),IF($C$437="stranded",0,Inputs!$C$16))</f>
        <v>0.8</v>
      </c>
      <c r="I453" s="19" t="n">
        <f aca="false">IF(OR(I$449&lt;=Inputs!$C$9,$C$437="renew"),IF(AND($C$440&gt;0,I$449&gt;=$C$440),$C$441,Inputs!$C$16),IF($C$437="stranded",0,Inputs!$C$16))</f>
        <v>0.8</v>
      </c>
      <c r="J453" s="19" t="n">
        <f aca="false">IF(OR(J$449&lt;=Inputs!$C$9,$C$437="renew"),IF(AND($C$440&gt;0,J$449&gt;=$C$440),$C$441,Inputs!$C$16),IF($C$437="stranded",0,Inputs!$C$16))</f>
        <v>0.8</v>
      </c>
      <c r="K453" s="19" t="n">
        <f aca="false">IF(OR(K$449&lt;=Inputs!$C$9,$C$437="renew"),IF(AND($C$440&gt;0,K$449&gt;=$C$440),$C$441,Inputs!$C$16),IF($C$437="stranded",0,Inputs!$C$16))</f>
        <v>0.8</v>
      </c>
      <c r="L453" s="19" t="n">
        <f aca="false">IF(OR(L$449&lt;=Inputs!$C$9,$C$437="renew"),IF(AND($C$440&gt;0,L$449&gt;=$C$440),$C$441,Inputs!$C$16),IF($C$437="stranded",0,Inputs!$C$16))</f>
        <v>0.8</v>
      </c>
      <c r="M453" s="19" t="n">
        <f aca="false">IF(OR(M$449&lt;=Inputs!$C$9,$C$437="renew"),IF(AND($C$440&gt;0,M$449&gt;=$C$440),$C$441,Inputs!$C$16),IF($C$437="stranded",0,Inputs!$C$16))</f>
        <v>0.8</v>
      </c>
      <c r="N453" s="19" t="n">
        <f aca="false">IF(OR(N$449&lt;=Inputs!$C$9,$C$437="renew"),IF(AND($C$440&gt;0,N$449&gt;=$C$440),$C$441,Inputs!$C$16),IF($C$437="stranded",0,Inputs!$C$16))</f>
        <v>0.8</v>
      </c>
      <c r="O453" s="19" t="n">
        <f aca="false">IF(OR(O$449&lt;=Inputs!$C$9,$C$437="renew"),IF(AND($C$440&gt;0,O$449&gt;=$C$440),$C$441,Inputs!$C$16),IF($C$437="stranded",0,Inputs!$C$16))</f>
        <v>0.8</v>
      </c>
    </row>
    <row r="454" customFormat="false" ht="15" hidden="false" customHeight="false" outlineLevel="0" collapsed="false">
      <c r="B454" s="9" t="s">
        <v>146</v>
      </c>
      <c r="E454" s="22" t="n">
        <f aca="false">IF(OR(E$449&lt;=Inputs!$C$9,$C$437="renew"),IF(AND($C$440&gt;0,E$449&gt;=$C$440),$C$442,$C$444),IF($C$437="retrofit",Inputs!$C$47,IF($C$437="relet",Inputs!$C$53,0)))</f>
        <v>1.4</v>
      </c>
      <c r="F454" s="22" t="n">
        <f aca="false">IF(OR(F$449&lt;=Inputs!$C$9,$C$437="renew"),IF(AND($C$440&gt;0,F$449&gt;=$C$440),$C$442,$C$444),IF($C$437="retrofit",Inputs!$C$47,IF($C$437="relet",Inputs!$C$53,0)))</f>
        <v>1.4</v>
      </c>
      <c r="G454" s="22" t="n">
        <f aca="false">IF(OR(G$449&lt;=Inputs!$C$9,$C$437="renew"),IF(AND($C$440&gt;0,G$449&gt;=$C$440),$C$442,$C$444),IF($C$437="retrofit",Inputs!$C$47,IF($C$437="relet",Inputs!$C$53,0)))</f>
        <v>1.4</v>
      </c>
      <c r="H454" s="22" t="n">
        <f aca="false">IF(OR(H$449&lt;=Inputs!$C$9,$C$437="renew"),IF(AND($C$440&gt;0,H$449&gt;=$C$440),$C$442,$C$444),IF($C$437="retrofit",Inputs!$C$47,IF($C$437="relet",Inputs!$C$53,0)))</f>
        <v>1.4</v>
      </c>
      <c r="I454" s="22" t="n">
        <f aca="false">IF(OR(I$449&lt;=Inputs!$C$9,$C$437="renew"),IF(AND($C$440&gt;0,I$449&gt;=$C$440),$C$442,$C$444),IF($C$437="retrofit",Inputs!$C$47,IF($C$437="relet",Inputs!$C$53,0)))</f>
        <v>1.4</v>
      </c>
      <c r="J454" s="22" t="n">
        <f aca="false">IF(OR(J$449&lt;=Inputs!$C$9,$C$437="renew"),IF(AND($C$440&gt;0,J$449&gt;=$C$440),$C$442,$C$444),IF($C$437="retrofit",Inputs!$C$47,IF($C$437="relet",Inputs!$C$53,0)))</f>
        <v>1.4</v>
      </c>
      <c r="K454" s="22" t="n">
        <f aca="false">IF(OR(K$449&lt;=Inputs!$C$9,$C$437="renew"),IF(AND($C$440&gt;0,K$449&gt;=$C$440),$C$442,$C$444),IF($C$437="retrofit",Inputs!$C$47,IF($C$437="relet",Inputs!$C$53,0)))</f>
        <v>1.4</v>
      </c>
      <c r="L454" s="22" t="n">
        <f aca="false">IF(OR(L$449&lt;=Inputs!$C$9,$C$437="renew"),IF(AND($C$440&gt;0,L$449&gt;=$C$440),$C$442,$C$444),IF($C$437="retrofit",Inputs!$C$47,IF($C$437="relet",Inputs!$C$53,0)))</f>
        <v>1.4</v>
      </c>
      <c r="M454" s="22" t="n">
        <f aca="false">IF(OR(M$449&lt;=Inputs!$C$9,$C$437="renew"),IF(AND($C$440&gt;0,M$449&gt;=$C$440),$C$442,$C$444),IF($C$437="retrofit",Inputs!$C$47,IF($C$437="relet",Inputs!$C$53,0)))</f>
        <v>1.4</v>
      </c>
      <c r="N454" s="22" t="n">
        <f aca="false">IF(OR(N$449&lt;=Inputs!$C$9,$C$437="renew"),IF(AND($C$440&gt;0,N$449&gt;=$C$440),$C$442,$C$444),IF($C$437="retrofit",Inputs!$C$47,IF($C$437="relet",Inputs!$C$53,0)))</f>
        <v>1.4</v>
      </c>
      <c r="O454" s="22" t="n">
        <f aca="false">IF(OR(O$449&lt;=Inputs!$C$9,$C$437="renew"),IF(AND($C$440&gt;0,O$449&gt;=$C$440),$C$442,$C$444),IF($C$437="retrofit",Inputs!$C$47,IF($C$437="relet",Inputs!$C$53,0)))</f>
        <v>1.4</v>
      </c>
    </row>
    <row r="455" customFormat="false" ht="15" hidden="false" customHeight="false" outlineLevel="0" collapsed="false">
      <c r="B455" s="9" t="s">
        <v>147</v>
      </c>
      <c r="E455" s="21" t="n">
        <f aca="false">IF(OR(E$449&lt;=Inputs!$C$9,$C$437="renew"),1,IF($C$437="retrofit",IF(E$449-Inputs!$C$9=1,0,1),IF($C$437="relet",CHOOSE(MIN(E$449-Inputs!$C$9,3),Inputs!$C$50,Inputs!$C$51,Inputs!$C$52),0)))</f>
        <v>1</v>
      </c>
      <c r="F455" s="21" t="n">
        <f aca="false">IF(OR(F$449&lt;=Inputs!$C$9,$C$437="renew"),1,IF($C$437="retrofit",IF(F$449-Inputs!$C$9=1,0,1),IF($C$437="relet",CHOOSE(MIN(F$449-Inputs!$C$9,3),Inputs!$C$50,Inputs!$C$51,Inputs!$C$52),0)))</f>
        <v>1</v>
      </c>
      <c r="G455" s="21" t="n">
        <f aca="false">IF(OR(G$449&lt;=Inputs!$C$9,$C$437="renew"),1,IF($C$437="retrofit",IF(G$449-Inputs!$C$9=1,0,1),IF($C$437="relet",CHOOSE(MIN(G$449-Inputs!$C$9,3),Inputs!$C$50,Inputs!$C$51,Inputs!$C$52),0)))</f>
        <v>1</v>
      </c>
      <c r="H455" s="21" t="n">
        <f aca="false">IF(OR(H$449&lt;=Inputs!$C$9,$C$437="renew"),1,IF($C$437="retrofit",IF(H$449-Inputs!$C$9=1,0,1),IF($C$437="relet",CHOOSE(MIN(H$449-Inputs!$C$9,3),Inputs!$C$50,Inputs!$C$51,Inputs!$C$52),0)))</f>
        <v>1</v>
      </c>
      <c r="I455" s="21" t="n">
        <f aca="false">IF(OR(I$449&lt;=Inputs!$C$9,$C$437="renew"),1,IF($C$437="retrofit",IF(I$449-Inputs!$C$9=1,0,1),IF($C$437="relet",CHOOSE(MIN(I$449-Inputs!$C$9,3),Inputs!$C$50,Inputs!$C$51,Inputs!$C$52),0)))</f>
        <v>1</v>
      </c>
      <c r="J455" s="21" t="n">
        <f aca="false">IF(OR(J$449&lt;=Inputs!$C$9,$C$437="renew"),1,IF($C$437="retrofit",IF(J$449-Inputs!$C$9=1,0,1),IF($C$437="relet",CHOOSE(MIN(J$449-Inputs!$C$9,3),Inputs!$C$50,Inputs!$C$51,Inputs!$C$52),0)))</f>
        <v>1</v>
      </c>
      <c r="K455" s="21" t="n">
        <f aca="false">IF(OR(K$449&lt;=Inputs!$C$9,$C$437="renew"),1,IF($C$437="retrofit",IF(K$449-Inputs!$C$9=1,0,1),IF($C$437="relet",CHOOSE(MIN(K$449-Inputs!$C$9,3),Inputs!$C$50,Inputs!$C$51,Inputs!$C$52),0)))</f>
        <v>1</v>
      </c>
      <c r="L455" s="21" t="n">
        <f aca="false">IF(OR(L$449&lt;=Inputs!$C$9,$C$437="renew"),1,IF($C$437="retrofit",IF(L$449-Inputs!$C$9=1,0,1),IF($C$437="relet",CHOOSE(MIN(L$449-Inputs!$C$9,3),Inputs!$C$50,Inputs!$C$51,Inputs!$C$52),0)))</f>
        <v>1</v>
      </c>
      <c r="M455" s="21" t="n">
        <f aca="false">IF(OR(M$449&lt;=Inputs!$C$9,$C$437="renew"),1,IF($C$437="retrofit",IF(M$449-Inputs!$C$9=1,0,1),IF($C$437="relet",CHOOSE(MIN(M$449-Inputs!$C$9,3),Inputs!$C$50,Inputs!$C$51,Inputs!$C$52),0)))</f>
        <v>1</v>
      </c>
      <c r="N455" s="21" t="n">
        <f aca="false">IF(OR(N$449&lt;=Inputs!$C$9,$C$437="renew"),1,IF($C$437="retrofit",IF(N$449-Inputs!$C$9=1,0,1),IF($C$437="relet",CHOOSE(MIN(N$449-Inputs!$C$9,3),Inputs!$C$50,Inputs!$C$51,Inputs!$C$52),0)))</f>
        <v>1</v>
      </c>
      <c r="O455" s="21" t="n">
        <f aca="false">IF(OR(O$449&lt;=Inputs!$C$9,$C$437="renew"),1,IF($C$437="retrofit",IF(O$449-Inputs!$C$9=1,0,1),IF($C$437="relet",CHOOSE(MIN(O$449-Inputs!$C$9,3),Inputs!$C$50,Inputs!$C$51,Inputs!$C$52),0)))</f>
        <v>1</v>
      </c>
    </row>
    <row r="456" customFormat="false" ht="15" hidden="false" customHeight="false" outlineLevel="0" collapsed="false">
      <c r="B456" s="9" t="s">
        <v>148</v>
      </c>
      <c r="E456" s="28" t="n">
        <f aca="false">Inputs!$C$6*1000*E453*E455*8760/1000</f>
        <v>224256</v>
      </c>
      <c r="F456" s="28" t="n">
        <f aca="false">Inputs!$C$6*1000*F453*F455*8760/1000</f>
        <v>224256</v>
      </c>
      <c r="G456" s="28" t="n">
        <f aca="false">Inputs!$C$6*1000*G453*G455*8760/1000</f>
        <v>224256</v>
      </c>
      <c r="H456" s="28" t="n">
        <f aca="false">Inputs!$C$6*1000*H453*H455*8760/1000</f>
        <v>224256</v>
      </c>
      <c r="I456" s="28" t="n">
        <f aca="false">Inputs!$C$6*1000*I453*I455*8760/1000</f>
        <v>224256</v>
      </c>
      <c r="J456" s="28" t="n">
        <f aca="false">Inputs!$C$6*1000*J453*J455*8760/1000</f>
        <v>224256</v>
      </c>
      <c r="K456" s="28" t="n">
        <f aca="false">Inputs!$C$6*1000*K453*K455*8760/1000</f>
        <v>224256</v>
      </c>
      <c r="L456" s="28" t="n">
        <f aca="false">Inputs!$C$6*1000*L453*L455*8760/1000</f>
        <v>224256</v>
      </c>
      <c r="M456" s="28" t="n">
        <f aca="false">Inputs!$C$6*1000*M453*M455*8760/1000</f>
        <v>224256</v>
      </c>
      <c r="N456" s="28" t="n">
        <f aca="false">Inputs!$C$6*1000*N453*N455*8760/1000</f>
        <v>224256</v>
      </c>
      <c r="O456" s="28" t="n">
        <f aca="false">Inputs!$C$6*1000*O453*O455*8760/1000</f>
        <v>224256</v>
      </c>
    </row>
    <row r="457" customFormat="false" ht="15" hidden="false" customHeight="false" outlineLevel="0" collapsed="false">
      <c r="B457" s="9" t="s">
        <v>149</v>
      </c>
      <c r="E457" s="24" t="n">
        <f aca="false">IF(E$449&lt;=Inputs!$C$9,Inputs!$C$6*1000*Inputs!$C$7*12*(1+Inputs!$C$8)^(E$449-1)/1000000,IF($C$437="renew",$C$448*$C$445*(1+Inputs!$C$8)^(E$449-Inputs!$C$9-1),IF($C$437="retrofit",IF(E$449-Inputs!$C$9=1,0,Inputs!$C$6*1000*Inputs!$C$46*12*(1+Inputs!$C$8)^(E$449-Inputs!$C$9-2)/1000000),IF($C$437="relet",Inputs!$C$6*1000*E455*$C$446*12*(1+Inputs!$C$8)^(E$449-Inputs!$C$9-2)/1000000,0))))</f>
        <v>52.992</v>
      </c>
      <c r="F457" s="24" t="n">
        <f aca="false">IF(F$449&lt;=Inputs!$C$9,Inputs!$C$6*1000*Inputs!$C$7*12*(1+Inputs!$C$8)^(F$449-1)/1000000,IF($C$437="renew",$C$448*$C$445*(1+Inputs!$C$8)^(F$449-Inputs!$C$9-1),IF($C$437="retrofit",IF(F$449-Inputs!$C$9=1,0,Inputs!$C$6*1000*Inputs!$C$46*12*(1+Inputs!$C$8)^(F$449-Inputs!$C$9-2)/1000000),IF($C$437="relet",Inputs!$C$6*1000*F455*$C$446*12*(1+Inputs!$C$8)^(F$449-Inputs!$C$9-2)/1000000,0))))</f>
        <v>54.05184</v>
      </c>
      <c r="G457" s="24" t="n">
        <f aca="false">IF(G$449&lt;=Inputs!$C$9,Inputs!$C$6*1000*Inputs!$C$7*12*(1+Inputs!$C$8)^(G$449-1)/1000000,IF($C$437="renew",$C$448*$C$445*(1+Inputs!$C$8)^(G$449-Inputs!$C$9-1),IF($C$437="retrofit",IF(G$449-Inputs!$C$9=1,0,Inputs!$C$6*1000*Inputs!$C$46*12*(1+Inputs!$C$8)^(G$449-Inputs!$C$9-2)/1000000),IF($C$437="relet",Inputs!$C$6*1000*G455*$C$446*12*(1+Inputs!$C$8)^(G$449-Inputs!$C$9-2)/1000000,0))))</f>
        <v>55.1328768</v>
      </c>
      <c r="H457" s="24" t="n">
        <f aca="false">IF(H$449&lt;=Inputs!$C$9,Inputs!$C$6*1000*Inputs!$C$7*12*(1+Inputs!$C$8)^(H$449-1)/1000000,IF($C$437="renew",$C$448*$C$445*(1+Inputs!$C$8)^(H$449-Inputs!$C$9-1),IF($C$437="retrofit",IF(H$449-Inputs!$C$9=1,0,Inputs!$C$6*1000*Inputs!$C$46*12*(1+Inputs!$C$8)^(H$449-Inputs!$C$9-2)/1000000),IF($C$437="relet",Inputs!$C$6*1000*H455*$C$446*12*(1+Inputs!$C$8)^(H$449-Inputs!$C$9-2)/1000000,0))))</f>
        <v>56.235534336</v>
      </c>
      <c r="I457" s="24" t="n">
        <f aca="false">IF(I$449&lt;=Inputs!$C$9,Inputs!$C$6*1000*Inputs!$C$7*12*(1+Inputs!$C$8)^(I$449-1)/1000000,IF($C$437="renew",$C$448*$C$445*(1+Inputs!$C$8)^(I$449-Inputs!$C$9-1),IF($C$437="retrofit",IF(I$449-Inputs!$C$9=1,0,Inputs!$C$6*1000*Inputs!$C$46*12*(1+Inputs!$C$8)^(I$449-Inputs!$C$9-2)/1000000),IF($C$437="relet",Inputs!$C$6*1000*I455*$C$446*12*(1+Inputs!$C$8)^(I$449-Inputs!$C$9-2)/1000000,0))))</f>
        <v>57.36024502272</v>
      </c>
      <c r="J457" s="24" t="n">
        <f aca="false">IF(J$449&lt;=Inputs!$C$9,Inputs!$C$6*1000*Inputs!$C$7*12*(1+Inputs!$C$8)^(J$449-1)/1000000,IF($C$437="renew",$C$448*$C$445*(1+Inputs!$C$8)^(J$449-Inputs!$C$9-1),IF($C$437="retrofit",IF(J$449-Inputs!$C$9=1,0,Inputs!$C$6*1000*Inputs!$C$46*12*(1+Inputs!$C$8)^(J$449-Inputs!$C$9-2)/1000000),IF($C$437="relet",Inputs!$C$6*1000*J455*$C$446*12*(1+Inputs!$C$8)^(J$449-Inputs!$C$9-2)/1000000,0))))</f>
        <v>58.5074499231744</v>
      </c>
      <c r="K457" s="24" t="n">
        <f aca="false">IF(K$449&lt;=Inputs!$C$9,Inputs!$C$6*1000*Inputs!$C$7*12*(1+Inputs!$C$8)^(K$449-1)/1000000,IF($C$437="renew",$C$448*$C$445*(1+Inputs!$C$8)^(K$449-Inputs!$C$9-1),IF($C$437="retrofit",IF(K$449-Inputs!$C$9=1,0,Inputs!$C$6*1000*Inputs!$C$46*12*(1+Inputs!$C$8)^(K$449-Inputs!$C$9-2)/1000000),IF($C$437="relet",Inputs!$C$6*1000*K455*$C$446*12*(1+Inputs!$C$8)^(K$449-Inputs!$C$9-2)/1000000,0))))</f>
        <v>59.6775989216379</v>
      </c>
      <c r="L457" s="24" t="n">
        <f aca="false">IF(L$449&lt;=Inputs!$C$9,Inputs!$C$6*1000*Inputs!$C$7*12*(1+Inputs!$C$8)^(L$449-1)/1000000,IF($C$437="renew",$C$448*$C$445*(1+Inputs!$C$8)^(L$449-Inputs!$C$9-1),IF($C$437="retrofit",IF(L$449-Inputs!$C$9=1,0,Inputs!$C$6*1000*Inputs!$C$46*12*(1+Inputs!$C$8)^(L$449-Inputs!$C$9-2)/1000000),IF($C$437="relet",Inputs!$C$6*1000*L455*$C$446*12*(1+Inputs!$C$8)^(L$449-Inputs!$C$9-2)/1000000,0))))</f>
        <v>60.8711509000706</v>
      </c>
      <c r="M457" s="24" t="n">
        <f aca="false">IF(M$449&lt;=Inputs!$C$9,Inputs!$C$6*1000*Inputs!$C$7*12*(1+Inputs!$C$8)^(M$449-1)/1000000,IF($C$437="renew",$C$448*$C$445*(1+Inputs!$C$8)^(M$449-Inputs!$C$9-1),IF($C$437="retrofit",IF(M$449-Inputs!$C$9=1,0,Inputs!$C$6*1000*Inputs!$C$46*12*(1+Inputs!$C$8)^(M$449-Inputs!$C$9-2)/1000000),IF($C$437="relet",Inputs!$C$6*1000*M455*$C$446*12*(1+Inputs!$C$8)^(M$449-Inputs!$C$9-2)/1000000,0))))</f>
        <v>54.7840358100636</v>
      </c>
      <c r="N457" s="24" t="n">
        <f aca="false">IF(N$449&lt;=Inputs!$C$9,Inputs!$C$6*1000*Inputs!$C$7*12*(1+Inputs!$C$8)^(N$449-1)/1000000,IF($C$437="renew",$C$448*$C$445*(1+Inputs!$C$8)^(N$449-Inputs!$C$9-1),IF($C$437="retrofit",IF(N$449-Inputs!$C$9=1,0,Inputs!$C$6*1000*Inputs!$C$46*12*(1+Inputs!$C$8)^(N$449-Inputs!$C$9-2)/1000000),IF($C$437="relet",Inputs!$C$6*1000*N455*$C$446*12*(1+Inputs!$C$8)^(N$449-Inputs!$C$9-2)/1000000,0))))</f>
        <v>55.8797165262649</v>
      </c>
      <c r="O457" s="24" t="n">
        <f aca="false">IF(O$449&lt;=Inputs!$C$9,Inputs!$C$6*1000*Inputs!$C$7*12*(1+Inputs!$C$8)^(O$449-1)/1000000,IF($C$437="renew",$C$448*$C$445*(1+Inputs!$C$8)^(O$449-Inputs!$C$9-1),IF($C$437="retrofit",IF(O$449-Inputs!$C$9=1,0,Inputs!$C$6*1000*Inputs!$C$46*12*(1+Inputs!$C$8)^(O$449-Inputs!$C$9-2)/1000000),IF($C$437="relet",Inputs!$C$6*1000*O455*$C$446*12*(1+Inputs!$C$8)^(O$449-Inputs!$C$9-2)/1000000,0))))</f>
        <v>56.9973108567902</v>
      </c>
    </row>
    <row r="458" customFormat="false" ht="15" hidden="false" customHeight="false" outlineLevel="0" collapsed="false">
      <c r="B458" s="9" t="s">
        <v>150</v>
      </c>
      <c r="E458" s="24" t="n">
        <f aca="false">IF(OR(E$449&lt;=Inputs!$C$9,$C$437="renew"),E456*(Inputs!$C$17*E451-E454*E450)/1000000,E456*E454*Inputs!$C$27/1000000)</f>
        <v>2.4219648</v>
      </c>
      <c r="F458" s="24" t="n">
        <f aca="false">IF(OR(F$449&lt;=Inputs!$C$9,$C$437="renew"),F456*(Inputs!$C$17*F451-F454*F450)/1000000,F456*F454*Inputs!$C$27/1000000)</f>
        <v>2.853433344</v>
      </c>
      <c r="G458" s="24" t="n">
        <f aca="false">IF(OR(G$449&lt;=Inputs!$C$9,$C$437="renew"),G456*(Inputs!$C$17*G451-G454*G450)/1000000,G456*G454*Inputs!$C$27/1000000)</f>
        <v>3.29353125888</v>
      </c>
      <c r="H458" s="24" t="n">
        <f aca="false">IF(OR(H$449&lt;=Inputs!$C$9,$C$437="renew"),H456*(Inputs!$C$17*H451-H454*H450)/1000000,H456*H454*Inputs!$C$27/1000000)</f>
        <v>3.74243113205761</v>
      </c>
      <c r="I458" s="24" t="n">
        <f aca="false">IF(OR(I$449&lt;=Inputs!$C$9,$C$437="renew"),I456*(Inputs!$C$17*I451-I454*I450)/1000000,I456*I454*Inputs!$C$27/1000000)</f>
        <v>2.31655860269875</v>
      </c>
      <c r="J458" s="24" t="n">
        <f aca="false">IF(OR(J$449&lt;=Inputs!$C$9,$C$437="renew"),J456*(Inputs!$C$17*J451-J454*J450)/1000000,J456*J454*Inputs!$C$27/1000000)</f>
        <v>2.25771371075273</v>
      </c>
      <c r="K458" s="24" t="n">
        <f aca="false">IF(OR(K$449&lt;=Inputs!$C$9,$C$437="renew"),K456*(Inputs!$C$17*K451-K454*K450)/1000000,K456*K454*Inputs!$C$27/1000000)</f>
        <v>2.19506251936779</v>
      </c>
      <c r="L458" s="24" t="n">
        <f aca="false">IF(OR(L$449&lt;=Inputs!$C$9,$C$437="renew"),L456*(Inputs!$C$17*L451-L454*L450)/1000000,L456*L454*Inputs!$C$27/1000000)</f>
        <v>2.12846316751515</v>
      </c>
      <c r="M458" s="24" t="n">
        <f aca="false">IF(OR(M$449&lt;=Inputs!$C$9,$C$437="renew"),M456*(Inputs!$C$17*M451-M454*M450)/1000000,M456*M454*Inputs!$C$27/1000000)</f>
        <v>2.05776931356946</v>
      </c>
      <c r="N458" s="24" t="n">
        <f aca="false">IF(OR(N$449&lt;=Inputs!$C$9,$C$437="renew"),N456*(Inputs!$C$17*N451-N454*N450)/1000000,N456*N454*Inputs!$C$27/1000000)</f>
        <v>1.98283000461245</v>
      </c>
      <c r="O458" s="24" t="n">
        <f aca="false">IF(OR(O$449&lt;=Inputs!$C$9,$C$437="renew"),O456*(Inputs!$C$17*O451-O454*O450)/1000000,O456*O454*Inputs!$C$27/1000000)</f>
        <v>1.90348954209559</v>
      </c>
    </row>
    <row r="459" customFormat="false" ht="15" hidden="false" customHeight="false" outlineLevel="0" collapsed="false">
      <c r="B459" s="9" t="s">
        <v>151</v>
      </c>
      <c r="E459" s="24" t="n">
        <f aca="false">Inputs!$C$10*E452*IF(OR(E$449&lt;=Inputs!$C$9,$C$437="renew"),1,IF($C$437="retrofit",IF(E$449-Inputs!$C$9=1,Inputs!$C$48,1),IF($C$437="relet",Inputs!$C$54,Inputs!$C$56)))</f>
        <v>4.1</v>
      </c>
      <c r="F459" s="24" t="n">
        <f aca="false">Inputs!$C$10*F452*IF(OR(F$449&lt;=Inputs!$C$9,$C$437="renew"),1,IF($C$437="retrofit",IF(F$449-Inputs!$C$9=1,Inputs!$C$48,1),IF($C$437="relet",Inputs!$C$54,Inputs!$C$56)))</f>
        <v>4.223</v>
      </c>
      <c r="G459" s="24" t="n">
        <f aca="false">Inputs!$C$10*G452*IF(OR(G$449&lt;=Inputs!$C$9,$C$437="renew"),1,IF($C$437="retrofit",IF(G$449-Inputs!$C$9=1,Inputs!$C$48,1),IF($C$437="relet",Inputs!$C$54,Inputs!$C$56)))</f>
        <v>4.34969</v>
      </c>
      <c r="H459" s="24" t="n">
        <f aca="false">Inputs!$C$10*H452*IF(OR(H$449&lt;=Inputs!$C$9,$C$437="renew"),1,IF($C$437="retrofit",IF(H$449-Inputs!$C$9=1,Inputs!$C$48,1),IF($C$437="relet",Inputs!$C$54,Inputs!$C$56)))</f>
        <v>4.4801807</v>
      </c>
      <c r="I459" s="24" t="n">
        <f aca="false">Inputs!$C$10*I452*IF(OR(I$449&lt;=Inputs!$C$9,$C$437="renew"),1,IF($C$437="retrofit",IF(I$449-Inputs!$C$9=1,Inputs!$C$48,1),IF($C$437="relet",Inputs!$C$54,Inputs!$C$56)))</f>
        <v>4.614586121</v>
      </c>
      <c r="J459" s="24" t="n">
        <f aca="false">Inputs!$C$10*J452*IF(OR(J$449&lt;=Inputs!$C$9,$C$437="renew"),1,IF($C$437="retrofit",IF(J$449-Inputs!$C$9=1,Inputs!$C$48,1),IF($C$437="relet",Inputs!$C$54,Inputs!$C$56)))</f>
        <v>4.75302370463</v>
      </c>
      <c r="K459" s="24" t="n">
        <f aca="false">Inputs!$C$10*K452*IF(OR(K$449&lt;=Inputs!$C$9,$C$437="renew"),1,IF($C$437="retrofit",IF(K$449-Inputs!$C$9=1,Inputs!$C$48,1),IF($C$437="relet",Inputs!$C$54,Inputs!$C$56)))</f>
        <v>4.8956144157689</v>
      </c>
      <c r="L459" s="24" t="n">
        <f aca="false">Inputs!$C$10*L452*IF(OR(L$449&lt;=Inputs!$C$9,$C$437="renew"),1,IF($C$437="retrofit",IF(L$449-Inputs!$C$9=1,Inputs!$C$48,1),IF($C$437="relet",Inputs!$C$54,Inputs!$C$56)))</f>
        <v>5.04248284824197</v>
      </c>
      <c r="M459" s="24" t="n">
        <f aca="false">Inputs!$C$10*M452*IF(OR(M$449&lt;=Inputs!$C$9,$C$437="renew"),1,IF($C$437="retrofit",IF(M$449-Inputs!$C$9=1,Inputs!$C$48,1),IF($C$437="relet",Inputs!$C$54,Inputs!$C$56)))</f>
        <v>5.19375733368923</v>
      </c>
      <c r="N459" s="24" t="n">
        <f aca="false">Inputs!$C$10*N452*IF(OR(N$449&lt;=Inputs!$C$9,$C$437="renew"),1,IF($C$437="retrofit",IF(N$449-Inputs!$C$9=1,Inputs!$C$48,1),IF($C$437="relet",Inputs!$C$54,Inputs!$C$56)))</f>
        <v>5.3495700536999</v>
      </c>
      <c r="O459" s="24" t="n">
        <f aca="false">Inputs!$C$10*O452*IF(OR(O$449&lt;=Inputs!$C$9,$C$437="renew"),1,IF($C$437="retrofit",IF(O$449-Inputs!$C$9=1,Inputs!$C$48,1),IF($C$437="relet",Inputs!$C$54,Inputs!$C$56)))</f>
        <v>5.5100571553109</v>
      </c>
    </row>
    <row r="460" customFormat="false" ht="15" hidden="false" customHeight="false" outlineLevel="0" collapsed="false">
      <c r="B460" s="9" t="s">
        <v>152</v>
      </c>
      <c r="E460" s="24" t="n">
        <f aca="false">IF(E$449&gt;=$C$439,Inputs!$C$30*1000*Inputs!$C$34*12*(1+Inputs!$C$8)^(E$449-$C$439)/1000000*IF(AND(E$449=$C$439,$C$439&gt;Inputs!$C$33),1-MIN(12,Inputs!$C$35*($C$439-Inputs!$C$33)*12)/12,1),0)</f>
        <v>0</v>
      </c>
      <c r="F460" s="24" t="n">
        <f aca="false">IF(F$449&gt;=$C$439,Inputs!$C$30*1000*Inputs!$C$34*12*(1+Inputs!$C$8)^(F$449-$C$439)/1000000*IF(AND(F$449=$C$439,$C$439&gt;Inputs!$C$33),1-MIN(12,Inputs!$C$35*($C$439-Inputs!$C$33)*12)/12,1),0)</f>
        <v>0</v>
      </c>
      <c r="G460" s="24" t="n">
        <f aca="false">IF(G$449&gt;=$C$439,Inputs!$C$30*1000*Inputs!$C$34*12*(1+Inputs!$C$8)^(G$449-$C$439)/1000000*IF(AND(G$449=$C$439,$C$439&gt;Inputs!$C$33),1-MIN(12,Inputs!$C$35*($C$439-Inputs!$C$33)*12)/12,1),0)</f>
        <v>29.184</v>
      </c>
      <c r="H460" s="24" t="n">
        <f aca="false">IF(H$449&gt;=$C$439,Inputs!$C$30*1000*Inputs!$C$34*12*(1+Inputs!$C$8)^(H$449-$C$439)/1000000*IF(AND(H$449=$C$439,$C$439&gt;Inputs!$C$33),1-MIN(12,Inputs!$C$35*($C$439-Inputs!$C$33)*12)/12,1),0)</f>
        <v>29.76768</v>
      </c>
      <c r="I460" s="24" t="n">
        <f aca="false">IF(I$449&gt;=$C$439,Inputs!$C$30*1000*Inputs!$C$34*12*(1+Inputs!$C$8)^(I$449-$C$439)/1000000*IF(AND(I$449=$C$439,$C$439&gt;Inputs!$C$33),1-MIN(12,Inputs!$C$35*($C$439-Inputs!$C$33)*12)/12,1),0)</f>
        <v>30.3630336</v>
      </c>
      <c r="J460" s="24" t="n">
        <f aca="false">IF(J$449&gt;=$C$439,Inputs!$C$30*1000*Inputs!$C$34*12*(1+Inputs!$C$8)^(J$449-$C$439)/1000000*IF(AND(J$449=$C$439,$C$439&gt;Inputs!$C$33),1-MIN(12,Inputs!$C$35*($C$439-Inputs!$C$33)*12)/12,1),0)</f>
        <v>30.970294272</v>
      </c>
      <c r="K460" s="24" t="n">
        <f aca="false">IF(K$449&gt;=$C$439,Inputs!$C$30*1000*Inputs!$C$34*12*(1+Inputs!$C$8)^(K$449-$C$439)/1000000*IF(AND(K$449=$C$439,$C$439&gt;Inputs!$C$33),1-MIN(12,Inputs!$C$35*($C$439-Inputs!$C$33)*12)/12,1),0)</f>
        <v>31.58970015744</v>
      </c>
      <c r="L460" s="24" t="n">
        <f aca="false">IF(L$449&gt;=$C$439,Inputs!$C$30*1000*Inputs!$C$34*12*(1+Inputs!$C$8)^(L$449-$C$439)/1000000*IF(AND(L$449=$C$439,$C$439&gt;Inputs!$C$33),1-MIN(12,Inputs!$C$35*($C$439-Inputs!$C$33)*12)/12,1),0)</f>
        <v>32.2214941605888</v>
      </c>
      <c r="M460" s="24" t="n">
        <f aca="false">IF(M$449&gt;=$C$439,Inputs!$C$30*1000*Inputs!$C$34*12*(1+Inputs!$C$8)^(M$449-$C$439)/1000000*IF(AND(M$449=$C$439,$C$439&gt;Inputs!$C$33),1-MIN(12,Inputs!$C$35*($C$439-Inputs!$C$33)*12)/12,1),0)</f>
        <v>32.8659240438006</v>
      </c>
      <c r="N460" s="24" t="n">
        <f aca="false">IF(N$449&gt;=$C$439,Inputs!$C$30*1000*Inputs!$C$34*12*(1+Inputs!$C$8)^(N$449-$C$439)/1000000*IF(AND(N$449=$C$439,$C$439&gt;Inputs!$C$33),1-MIN(12,Inputs!$C$35*($C$439-Inputs!$C$33)*12)/12,1),0)</f>
        <v>33.5232425246766</v>
      </c>
      <c r="O460" s="24" t="n">
        <f aca="false">IF(O$449&gt;=$C$439,Inputs!$C$30*1000*Inputs!$C$34*12*(1+Inputs!$C$8)^(O$449-$C$439)/1000000*IF(AND(O$449=$C$439,$C$439&gt;Inputs!$C$33),1-MIN(12,Inputs!$C$35*($C$439-Inputs!$C$33)*12)/12,1),0)</f>
        <v>34.1937073751701</v>
      </c>
    </row>
    <row r="461" customFormat="false" ht="15" hidden="false" customHeight="false" outlineLevel="0" collapsed="false">
      <c r="B461" s="9" t="s">
        <v>153</v>
      </c>
      <c r="E461" s="28" t="n">
        <f aca="false">IF(E$449&gt;=$C$439,Inputs!$C$30*1000*Inputs!$C$16*8760/1000,0)</f>
        <v>0</v>
      </c>
      <c r="F461" s="28" t="n">
        <f aca="false">IF(F$449&gt;=$C$439,Inputs!$C$30*1000*Inputs!$C$16*8760/1000,0)</f>
        <v>0</v>
      </c>
      <c r="G461" s="28" t="n">
        <f aca="false">IF(G$449&gt;=$C$439,Inputs!$C$30*1000*Inputs!$C$16*8760/1000,0)</f>
        <v>112128</v>
      </c>
      <c r="H461" s="28" t="n">
        <f aca="false">IF(H$449&gt;=$C$439,Inputs!$C$30*1000*Inputs!$C$16*8760/1000,0)</f>
        <v>112128</v>
      </c>
      <c r="I461" s="28" t="n">
        <f aca="false">IF(I$449&gt;=$C$439,Inputs!$C$30*1000*Inputs!$C$16*8760/1000,0)</f>
        <v>112128</v>
      </c>
      <c r="J461" s="28" t="n">
        <f aca="false">IF(J$449&gt;=$C$439,Inputs!$C$30*1000*Inputs!$C$16*8760/1000,0)</f>
        <v>112128</v>
      </c>
      <c r="K461" s="28" t="n">
        <f aca="false">IF(K$449&gt;=$C$439,Inputs!$C$30*1000*Inputs!$C$16*8760/1000,0)</f>
        <v>112128</v>
      </c>
      <c r="L461" s="28" t="n">
        <f aca="false">IF(L$449&gt;=$C$439,Inputs!$C$30*1000*Inputs!$C$16*8760/1000,0)</f>
        <v>112128</v>
      </c>
      <c r="M461" s="28" t="n">
        <f aca="false">IF(M$449&gt;=$C$439,Inputs!$C$30*1000*Inputs!$C$16*8760/1000,0)</f>
        <v>112128</v>
      </c>
      <c r="N461" s="28" t="n">
        <f aca="false">IF(N$449&gt;=$C$439,Inputs!$C$30*1000*Inputs!$C$16*8760/1000,0)</f>
        <v>112128</v>
      </c>
      <c r="O461" s="28" t="n">
        <f aca="false">IF(O$449&gt;=$C$439,Inputs!$C$30*1000*Inputs!$C$16*8760/1000,0)</f>
        <v>112128</v>
      </c>
    </row>
    <row r="462" customFormat="false" ht="15" hidden="false" customHeight="false" outlineLevel="0" collapsed="false">
      <c r="B462" s="9" t="s">
        <v>154</v>
      </c>
      <c r="E462" s="24" t="n">
        <f aca="false">E461*Inputs!$C$37*Inputs!$C$27/1000000</f>
        <v>0</v>
      </c>
      <c r="F462" s="24" t="n">
        <f aca="false">F461*Inputs!$C$37*Inputs!$C$27/1000000</f>
        <v>0</v>
      </c>
      <c r="G462" s="24" t="n">
        <f aca="false">G461*Inputs!$C$37*Inputs!$C$27/1000000</f>
        <v>0.4036608</v>
      </c>
      <c r="H462" s="24" t="n">
        <f aca="false">H461*Inputs!$C$37*Inputs!$C$27/1000000</f>
        <v>0.4036608</v>
      </c>
      <c r="I462" s="24" t="n">
        <f aca="false">I461*Inputs!$C$37*Inputs!$C$27/1000000</f>
        <v>0.4036608</v>
      </c>
      <c r="J462" s="24" t="n">
        <f aca="false">J461*Inputs!$C$37*Inputs!$C$27/1000000</f>
        <v>0.4036608</v>
      </c>
      <c r="K462" s="24" t="n">
        <f aca="false">K461*Inputs!$C$37*Inputs!$C$27/1000000</f>
        <v>0.4036608</v>
      </c>
      <c r="L462" s="24" t="n">
        <f aca="false">L461*Inputs!$C$37*Inputs!$C$27/1000000</f>
        <v>0.4036608</v>
      </c>
      <c r="M462" s="24" t="n">
        <f aca="false">M461*Inputs!$C$37*Inputs!$C$27/1000000</f>
        <v>0.4036608</v>
      </c>
      <c r="N462" s="24" t="n">
        <f aca="false">N461*Inputs!$C$37*Inputs!$C$27/1000000</f>
        <v>0.4036608</v>
      </c>
      <c r="O462" s="24" t="n">
        <f aca="false">O461*Inputs!$C$37*Inputs!$C$27/1000000</f>
        <v>0.4036608</v>
      </c>
    </row>
    <row r="463" customFormat="false" ht="15" hidden="false" customHeight="false" outlineLevel="0" collapsed="false">
      <c r="B463" s="9" t="s">
        <v>155</v>
      </c>
      <c r="E463" s="24" t="n">
        <f aca="false">IF(E$449&gt;=$C$439,Inputs!$C$38*E452,0)</f>
        <v>0</v>
      </c>
      <c r="F463" s="24" t="n">
        <f aca="false">IF(F$449&gt;=$C$439,Inputs!$C$38*F452,0)</f>
        <v>0</v>
      </c>
      <c r="G463" s="24" t="n">
        <f aca="false">IF(G$449&gt;=$C$439,Inputs!$C$38*G452,0)</f>
        <v>1.69744</v>
      </c>
      <c r="H463" s="24" t="n">
        <f aca="false">IF(H$449&gt;=$C$439,Inputs!$C$38*H452,0)</f>
        <v>1.7483632</v>
      </c>
      <c r="I463" s="24" t="n">
        <f aca="false">IF(I$449&gt;=$C$439,Inputs!$C$38*I452,0)</f>
        <v>1.800814096</v>
      </c>
      <c r="J463" s="24" t="n">
        <f aca="false">IF(J$449&gt;=$C$439,Inputs!$C$38*J452,0)</f>
        <v>1.85483851888</v>
      </c>
      <c r="K463" s="24" t="n">
        <f aca="false">IF(K$449&gt;=$C$439,Inputs!$C$38*K452,0)</f>
        <v>1.9104836744464</v>
      </c>
      <c r="L463" s="24" t="n">
        <f aca="false">IF(L$449&gt;=$C$439,Inputs!$C$38*L452,0)</f>
        <v>1.96779818467979</v>
      </c>
      <c r="M463" s="24" t="n">
        <f aca="false">IF(M$449&gt;=$C$439,Inputs!$C$38*M452,0)</f>
        <v>2.02683213022019</v>
      </c>
      <c r="N463" s="24" t="n">
        <f aca="false">IF(N$449&gt;=$C$439,Inputs!$C$38*N452,0)</f>
        <v>2.08763709412679</v>
      </c>
      <c r="O463" s="24" t="n">
        <f aca="false">IF(O$449&gt;=$C$439,Inputs!$C$38*O452,0)</f>
        <v>2.1502662069506</v>
      </c>
    </row>
    <row r="464" customFormat="false" ht="15" hidden="false" customHeight="false" outlineLevel="0" collapsed="false">
      <c r="B464" s="9" t="s">
        <v>156</v>
      </c>
      <c r="E464" s="24" t="n">
        <f aca="false">Inputs!$C$12*(E457+E460)</f>
        <v>0.52992</v>
      </c>
      <c r="F464" s="24" t="n">
        <f aca="false">Inputs!$C$12*(F457+F460)</f>
        <v>0.5405184</v>
      </c>
      <c r="G464" s="24" t="n">
        <f aca="false">Inputs!$C$12*(G457+G460)</f>
        <v>0.843168768</v>
      </c>
      <c r="H464" s="24" t="n">
        <f aca="false">Inputs!$C$12*(H457+H460)</f>
        <v>0.86003214336</v>
      </c>
      <c r="I464" s="24" t="n">
        <f aca="false">Inputs!$C$12*(I457+I460)</f>
        <v>0.8772327862272</v>
      </c>
      <c r="J464" s="24" t="n">
        <f aca="false">Inputs!$C$12*(J457+J460)</f>
        <v>0.894777441951744</v>
      </c>
      <c r="K464" s="24" t="n">
        <f aca="false">Inputs!$C$12*(K457+K460)</f>
        <v>0.912672990790779</v>
      </c>
      <c r="L464" s="24" t="n">
        <f aca="false">Inputs!$C$12*(L457+L460)</f>
        <v>0.930926450606595</v>
      </c>
      <c r="M464" s="24" t="n">
        <f aca="false">Inputs!$C$12*(M457+M460)</f>
        <v>0.876499598538642</v>
      </c>
      <c r="N464" s="24" t="n">
        <f aca="false">Inputs!$C$12*(N457+N460)</f>
        <v>0.894029590509414</v>
      </c>
      <c r="O464" s="24" t="n">
        <f aca="false">Inputs!$C$12*(O457+O460)</f>
        <v>0.911910182319603</v>
      </c>
    </row>
    <row r="465" customFormat="false" ht="15" hidden="false" customHeight="false" outlineLevel="0" collapsed="false">
      <c r="B465" s="29" t="s">
        <v>157</v>
      </c>
      <c r="E465" s="30" t="n">
        <f aca="false">E457+E458+E460+E462-E459-E463-E464</f>
        <v>50.7840448</v>
      </c>
      <c r="F465" s="30" t="n">
        <f aca="false">F457+F458+F460+F462-F459-F463-F464</f>
        <v>52.141754944</v>
      </c>
      <c r="G465" s="30" t="n">
        <f aca="false">G457+G458+G460+G462-G459-G463-G464</f>
        <v>81.12377009088</v>
      </c>
      <c r="H465" s="30" t="n">
        <f aca="false">H457+H458+H460+H462-H459-H463-H464</f>
        <v>83.0607302246976</v>
      </c>
      <c r="I465" s="30" t="n">
        <f aca="false">I457+I458+I460+I462-I459-I463-I464</f>
        <v>83.1508650221916</v>
      </c>
      <c r="J465" s="30" t="n">
        <f aca="false">J457+J458+J460+J462-J459-J463-J464</f>
        <v>84.6364790404654</v>
      </c>
      <c r="K465" s="30" t="n">
        <f aca="false">K457+K458+K460+K462-K459-K463-K464</f>
        <v>86.1472513174396</v>
      </c>
      <c r="L465" s="30" t="n">
        <f aca="false">L457+L458+L460+L462-L459-L463-L464</f>
        <v>87.6835615446462</v>
      </c>
      <c r="M465" s="30" t="n">
        <f aca="false">M457+M458+M460+M462-M459-M463-M464</f>
        <v>82.0143009049856</v>
      </c>
      <c r="N465" s="30" t="n">
        <f aca="false">N457+N458+N460+N462-N459-N463-N464</f>
        <v>83.4582131172178</v>
      </c>
      <c r="O465" s="30" t="n">
        <f aca="false">O457+O458+O460+O462-O459-O463-O464</f>
        <v>84.9259350294748</v>
      </c>
    </row>
    <row r="466" customFormat="false" ht="15" hidden="false" customHeight="false" outlineLevel="0" collapsed="false">
      <c r="B466" s="9" t="s">
        <v>158</v>
      </c>
      <c r="E466" s="24" t="n">
        <f aca="false">Inputs!$C$13*E452*IF(AND($C$437="stranded",E$449&gt;Inputs!$C$9),Inputs!$C$56,1)+IF(E$449&gt;=$C$439,Inputs!$C$39*E452,0)</f>
        <v>1.3</v>
      </c>
      <c r="F466" s="24" t="n">
        <f aca="false">Inputs!$C$13*F452*IF(AND($C$437="stranded",F$449&gt;Inputs!$C$9),Inputs!$C$56,1)+IF(F$449&gt;=$C$439,Inputs!$C$39*F452,0)</f>
        <v>1.339</v>
      </c>
      <c r="G466" s="24" t="n">
        <f aca="false">Inputs!$C$13*G452*IF(AND($C$437="stranded",G$449&gt;Inputs!$C$9),Inputs!$C$56,1)+IF(G$449&gt;=$C$439,Inputs!$C$39*G452,0)</f>
        <v>1.90962</v>
      </c>
      <c r="H466" s="24" t="n">
        <f aca="false">Inputs!$C$13*H452*IF(AND($C$437="stranded",H$449&gt;Inputs!$C$9),Inputs!$C$56,1)+IF(H$449&gt;=$C$439,Inputs!$C$39*H452,0)</f>
        <v>1.9669086</v>
      </c>
      <c r="I466" s="24" t="n">
        <f aca="false">Inputs!$C$13*I452*IF(AND($C$437="stranded",I$449&gt;Inputs!$C$9),Inputs!$C$56,1)+IF(I$449&gt;=$C$439,Inputs!$C$39*I452,0)</f>
        <v>2.025915858</v>
      </c>
      <c r="J466" s="24" t="n">
        <f aca="false">Inputs!$C$13*J452*IF(AND($C$437="stranded",J$449&gt;Inputs!$C$9),Inputs!$C$56,1)+IF(J$449&gt;=$C$439,Inputs!$C$39*J452,0)</f>
        <v>2.08669333374</v>
      </c>
      <c r="K466" s="24" t="n">
        <f aca="false">Inputs!$C$13*K452*IF(AND($C$437="stranded",K$449&gt;Inputs!$C$9),Inputs!$C$56,1)+IF(K$449&gt;=$C$439,Inputs!$C$39*K452,0)</f>
        <v>2.1492941337522</v>
      </c>
      <c r="L466" s="24" t="n">
        <f aca="false">Inputs!$C$13*L452*IF(AND($C$437="stranded",L$449&gt;Inputs!$C$9),Inputs!$C$56,1)+IF(L$449&gt;=$C$439,Inputs!$C$39*L452,0)</f>
        <v>2.21377295776477</v>
      </c>
      <c r="M466" s="24" t="n">
        <f aca="false">Inputs!$C$13*M452*IF(AND($C$437="stranded",M$449&gt;Inputs!$C$9),Inputs!$C$56,1)+IF(M$449&gt;=$C$439,Inputs!$C$39*M452,0)</f>
        <v>2.28018614649771</v>
      </c>
      <c r="N466" s="24" t="n">
        <f aca="false">Inputs!$C$13*N452*IF(AND($C$437="stranded",N$449&gt;Inputs!$C$9),Inputs!$C$56,1)+IF(N$449&gt;=$C$439,Inputs!$C$39*N452,0)</f>
        <v>2.34859173089264</v>
      </c>
      <c r="O466" s="24" t="n">
        <f aca="false">Inputs!$C$13*O452*IF(AND($C$437="stranded",O$449&gt;Inputs!$C$9),Inputs!$C$56,1)+IF(O$449&gt;=$C$439,Inputs!$C$39*O452,0)</f>
        <v>2.41904948281942</v>
      </c>
    </row>
    <row r="467" customFormat="false" ht="15" hidden="false" customHeight="false" outlineLevel="0" collapsed="false">
      <c r="B467" s="9" t="s">
        <v>159</v>
      </c>
      <c r="E467" s="24" t="n">
        <f aca="false">IF(OR(E$449=1,E$449=2),Inputs!$C$31*Inputs!$C$30/2,0)+IF(AND(E$449=2,$C$439&gt;Inputs!$C$33),Inputs!$C$31*Inputs!$C$30*Inputs!$C$36*($C$439-Inputs!$C$33),0)</f>
        <v>84</v>
      </c>
      <c r="F467" s="24" t="n">
        <f aca="false">IF(OR(F$449=1,F$449=2),Inputs!$C$31*Inputs!$C$30/2,0)+IF(AND(F$449=2,$C$439&gt;Inputs!$C$33),Inputs!$C$31*Inputs!$C$30*Inputs!$C$36*($C$439-Inputs!$C$33),0)</f>
        <v>84</v>
      </c>
      <c r="G467" s="24" t="n">
        <f aca="false">IF(OR(G$449=1,G$449=2),Inputs!$C$31*Inputs!$C$30/2,0)+IF(AND(G$449=2,$C$439&gt;Inputs!$C$33),Inputs!$C$31*Inputs!$C$30*Inputs!$C$36*($C$439-Inputs!$C$33),0)</f>
        <v>0</v>
      </c>
      <c r="H467" s="24" t="n">
        <f aca="false">IF(OR(H$449=1,H$449=2),Inputs!$C$31*Inputs!$C$30/2,0)+IF(AND(H$449=2,$C$439&gt;Inputs!$C$33),Inputs!$C$31*Inputs!$C$30*Inputs!$C$36*($C$439-Inputs!$C$33),0)</f>
        <v>0</v>
      </c>
      <c r="I467" s="24" t="n">
        <f aca="false">IF(OR(I$449=1,I$449=2),Inputs!$C$31*Inputs!$C$30/2,0)+IF(AND(I$449=2,$C$439&gt;Inputs!$C$33),Inputs!$C$31*Inputs!$C$30*Inputs!$C$36*($C$439-Inputs!$C$33),0)</f>
        <v>0</v>
      </c>
      <c r="J467" s="24" t="n">
        <f aca="false">IF(OR(J$449=1,J$449=2),Inputs!$C$31*Inputs!$C$30/2,0)+IF(AND(J$449=2,$C$439&gt;Inputs!$C$33),Inputs!$C$31*Inputs!$C$30*Inputs!$C$36*($C$439-Inputs!$C$33),0)</f>
        <v>0</v>
      </c>
      <c r="K467" s="24" t="n">
        <f aca="false">IF(OR(K$449=1,K$449=2),Inputs!$C$31*Inputs!$C$30/2,0)+IF(AND(K$449=2,$C$439&gt;Inputs!$C$33),Inputs!$C$31*Inputs!$C$30*Inputs!$C$36*($C$439-Inputs!$C$33),0)</f>
        <v>0</v>
      </c>
      <c r="L467" s="24" t="n">
        <f aca="false">IF(OR(L$449=1,L$449=2),Inputs!$C$31*Inputs!$C$30/2,0)+IF(AND(L$449=2,$C$439&gt;Inputs!$C$33),Inputs!$C$31*Inputs!$C$30*Inputs!$C$36*($C$439-Inputs!$C$33),0)</f>
        <v>0</v>
      </c>
      <c r="M467" s="24" t="n">
        <f aca="false">IF(OR(M$449=1,M$449=2),Inputs!$C$31*Inputs!$C$30/2,0)+IF(AND(M$449=2,$C$439&gt;Inputs!$C$33),Inputs!$C$31*Inputs!$C$30*Inputs!$C$36*($C$439-Inputs!$C$33),0)</f>
        <v>0</v>
      </c>
      <c r="N467" s="24" t="n">
        <f aca="false">IF(OR(N$449=1,N$449=2),Inputs!$C$31*Inputs!$C$30/2,0)+IF(AND(N$449=2,$C$439&gt;Inputs!$C$33),Inputs!$C$31*Inputs!$C$30*Inputs!$C$36*($C$439-Inputs!$C$33),0)</f>
        <v>0</v>
      </c>
      <c r="O467" s="24" t="n">
        <f aca="false">IF(OR(O$449=1,O$449=2),Inputs!$C$31*Inputs!$C$30/2,0)+IF(AND(O$449=2,$C$439&gt;Inputs!$C$33),Inputs!$C$31*Inputs!$C$30*Inputs!$C$36*($C$439-Inputs!$C$33),0)</f>
        <v>0</v>
      </c>
    </row>
    <row r="468" customFormat="false" ht="15" hidden="false" customHeight="false" outlineLevel="0" collapsed="false">
      <c r="B468" s="9" t="s">
        <v>160</v>
      </c>
      <c r="E468" s="24" t="n">
        <f aca="false">IF(E$449=Inputs!$C$9+1,Inputs!$C$6*IF($C$437="renew",Inputs!$C$44,IF($C$437="retrofit",Inputs!$C$45,IF($C$437="relet",Inputs!$C$55,0))),0)</f>
        <v>0</v>
      </c>
      <c r="F468" s="24" t="n">
        <f aca="false">IF(F$449=Inputs!$C$9+1,Inputs!$C$6*IF($C$437="renew",Inputs!$C$44,IF($C$437="retrofit",Inputs!$C$45,IF($C$437="relet",Inputs!$C$55,0))),0)</f>
        <v>0</v>
      </c>
      <c r="G468" s="24" t="n">
        <f aca="false">IF(G$449=Inputs!$C$9+1,Inputs!$C$6*IF($C$437="renew",Inputs!$C$44,IF($C$437="retrofit",Inputs!$C$45,IF($C$437="relet",Inputs!$C$55,0))),0)</f>
        <v>0</v>
      </c>
      <c r="H468" s="24" t="n">
        <f aca="false">IF(H$449=Inputs!$C$9+1,Inputs!$C$6*IF($C$437="renew",Inputs!$C$44,IF($C$437="retrofit",Inputs!$C$45,IF($C$437="relet",Inputs!$C$55,0))),0)</f>
        <v>0</v>
      </c>
      <c r="I468" s="24" t="n">
        <f aca="false">IF(I$449=Inputs!$C$9+1,Inputs!$C$6*IF($C$437="renew",Inputs!$C$44,IF($C$437="retrofit",Inputs!$C$45,IF($C$437="relet",Inputs!$C$55,0))),0)</f>
        <v>0</v>
      </c>
      <c r="J468" s="24" t="n">
        <f aca="false">IF(J$449=Inputs!$C$9+1,Inputs!$C$6*IF($C$437="renew",Inputs!$C$44,IF($C$437="retrofit",Inputs!$C$45,IF($C$437="relet",Inputs!$C$55,0))),0)</f>
        <v>0</v>
      </c>
      <c r="K468" s="24" t="n">
        <f aca="false">IF(K$449=Inputs!$C$9+1,Inputs!$C$6*IF($C$437="renew",Inputs!$C$44,IF($C$437="retrofit",Inputs!$C$45,IF($C$437="relet",Inputs!$C$55,0))),0)</f>
        <v>0</v>
      </c>
      <c r="L468" s="24" t="n">
        <f aca="false">IF(L$449=Inputs!$C$9+1,Inputs!$C$6*IF($C$437="renew",Inputs!$C$44,IF($C$437="retrofit",Inputs!$C$45,IF($C$437="relet",Inputs!$C$55,0))),0)</f>
        <v>0</v>
      </c>
      <c r="M468" s="24" t="n">
        <f aca="false">IF(M$449=Inputs!$C$9+1,Inputs!$C$6*IF($C$437="renew",Inputs!$C$44,IF($C$437="retrofit",Inputs!$C$45,IF($C$437="relet",Inputs!$C$55,0))),0)</f>
        <v>12.8</v>
      </c>
      <c r="N468" s="24" t="n">
        <f aca="false">IF(N$449=Inputs!$C$9+1,Inputs!$C$6*IF($C$437="renew",Inputs!$C$44,IF($C$437="retrofit",Inputs!$C$45,IF($C$437="relet",Inputs!$C$55,0))),0)</f>
        <v>0</v>
      </c>
      <c r="O468" s="24" t="n">
        <f aca="false">IF(O$449=Inputs!$C$9+1,Inputs!$C$6*IF($C$437="renew",Inputs!$C$44,IF($C$437="retrofit",Inputs!$C$45,IF($C$437="relet",Inputs!$C$55,0))),0)</f>
        <v>0</v>
      </c>
    </row>
    <row r="469" customFormat="false" ht="15" hidden="false" customHeight="false" outlineLevel="0" collapsed="false">
      <c r="B469" s="29" t="s">
        <v>161</v>
      </c>
      <c r="E469" s="30" t="n">
        <f aca="false">E465-E466-E467-E468</f>
        <v>-34.5159552</v>
      </c>
      <c r="F469" s="30" t="n">
        <f aca="false">F465-F466-F467-F468</f>
        <v>-33.197245056</v>
      </c>
      <c r="G469" s="30" t="n">
        <f aca="false">G465-G466-G467-G468</f>
        <v>79.21415009088</v>
      </c>
      <c r="H469" s="30" t="n">
        <f aca="false">H465-H466-H467-H468</f>
        <v>81.0938216246976</v>
      </c>
      <c r="I469" s="30" t="n">
        <f aca="false">I465-I466-I467-I468</f>
        <v>81.1249491641916</v>
      </c>
      <c r="J469" s="30" t="n">
        <f aca="false">J465-J466-J467-J468</f>
        <v>82.5497857067254</v>
      </c>
      <c r="K469" s="30" t="n">
        <f aca="false">K465-K466-K467-K468</f>
        <v>83.9979571836874</v>
      </c>
      <c r="L469" s="30" t="n">
        <f aca="false">L465-L466-L467-L468</f>
        <v>85.4697885868815</v>
      </c>
      <c r="M469" s="30" t="n">
        <f aca="false">M465-M466-M467-M468</f>
        <v>66.9341147584878</v>
      </c>
      <c r="N469" s="30" t="n">
        <f aca="false">N465-N466-N467-N468</f>
        <v>81.1096213863251</v>
      </c>
      <c r="O469" s="30" t="n">
        <f aca="false">O465-O466-O467-O468</f>
        <v>82.5068855466554</v>
      </c>
    </row>
    <row r="470" customFormat="false" ht="15" hidden="false" customHeight="false" outlineLevel="0" collapsed="false">
      <c r="B470" s="6" t="s">
        <v>162</v>
      </c>
    </row>
    <row r="472" customFormat="false" ht="15" hidden="false" customHeight="false" outlineLevel="0" collapsed="false">
      <c r="B472" s="9" t="s">
        <v>163</v>
      </c>
      <c r="C472" s="23" t="n">
        <f aca="false">IF($C$437="renew",Inputs!$C$67,IF($C$437="retrofit",Inputs!$C$68,IF($C$437="relet",Inputs!$C$69,Inputs!$C$70)))+$C$443</f>
        <v>0.0635903461519973</v>
      </c>
    </row>
    <row r="473" customFormat="false" ht="15" hidden="false" customHeight="false" outlineLevel="0" collapsed="false">
      <c r="B473" s="9" t="s">
        <v>164</v>
      </c>
      <c r="C473" s="24" t="n">
        <f aca="false">O460+O462-O463-Inputs!$C$12*O460</f>
        <v>32.1051648944678</v>
      </c>
    </row>
    <row r="474" customFormat="false" ht="15" hidden="false" customHeight="false" outlineLevel="0" collapsed="false">
      <c r="B474" s="9" t="s">
        <v>165</v>
      </c>
      <c r="C474" s="24" t="n">
        <f aca="false">O465-$C$473</f>
        <v>52.8207701350069</v>
      </c>
    </row>
    <row r="475" customFormat="false" ht="15" hidden="false" customHeight="false" outlineLevel="0" collapsed="false">
      <c r="B475" s="9" t="s">
        <v>166</v>
      </c>
      <c r="C475" s="24" t="n">
        <f aca="false">IF($C$437="stranded",Inputs!$C$57*Inputs!$C$6-Inputs!$C$58,0)</f>
        <v>0</v>
      </c>
    </row>
    <row r="476" customFormat="false" ht="15" hidden="false" customHeight="false" outlineLevel="0" collapsed="false">
      <c r="B476" s="9" t="s">
        <v>167</v>
      </c>
      <c r="C476" s="24" t="n">
        <f aca="false">($C$473+$C$474)/$C$472+$C$475</f>
        <v>1335.51616194194</v>
      </c>
    </row>
    <row r="477" customFormat="false" ht="15" hidden="false" customHeight="false" outlineLevel="0" collapsed="false">
      <c r="B477" s="29" t="s">
        <v>168</v>
      </c>
      <c r="C477" s="30" t="n">
        <f aca="false">$C$476*(1-Inputs!$C$66)</f>
        <v>1315.48341951281</v>
      </c>
    </row>
    <row r="478" customFormat="false" ht="15" hidden="false" customHeight="false" outlineLevel="0" collapsed="false">
      <c r="B478" s="9" t="s">
        <v>169</v>
      </c>
      <c r="C478" s="24" t="n">
        <f aca="false">$C$447*(1+Inputs!$C$65)</f>
        <v>918</v>
      </c>
    </row>
    <row r="480" customFormat="false" ht="15" hidden="false" customHeight="false" outlineLevel="0" collapsed="false">
      <c r="B480" s="25" t="s">
        <v>170</v>
      </c>
      <c r="C480" s="26"/>
      <c r="D480" s="26" t="n">
        <v>0</v>
      </c>
      <c r="E480" s="26" t="n">
        <v>1</v>
      </c>
      <c r="F480" s="26" t="n">
        <v>2</v>
      </c>
      <c r="G480" s="26" t="n">
        <v>3</v>
      </c>
      <c r="H480" s="26" t="n">
        <v>4</v>
      </c>
      <c r="I480" s="26" t="n">
        <v>5</v>
      </c>
      <c r="J480" s="26" t="n">
        <v>6</v>
      </c>
      <c r="K480" s="26" t="n">
        <v>7</v>
      </c>
      <c r="L480" s="26" t="n">
        <v>8</v>
      </c>
      <c r="M480" s="26" t="n">
        <v>9</v>
      </c>
      <c r="N480" s="26" t="n">
        <v>10</v>
      </c>
    </row>
    <row r="481" customFormat="false" ht="15" hidden="false" customHeight="false" outlineLevel="0" collapsed="false">
      <c r="B481" s="29" t="s">
        <v>171</v>
      </c>
      <c r="D481" s="30" t="n">
        <f aca="false">-$C$478</f>
        <v>-918</v>
      </c>
      <c r="E481" s="30" t="n">
        <f aca="false">E469</f>
        <v>-34.5159552</v>
      </c>
      <c r="F481" s="30" t="n">
        <f aca="false">F469</f>
        <v>-33.197245056</v>
      </c>
      <c r="G481" s="30" t="n">
        <f aca="false">G469</f>
        <v>79.21415009088</v>
      </c>
      <c r="H481" s="30" t="n">
        <f aca="false">H469</f>
        <v>81.0938216246976</v>
      </c>
      <c r="I481" s="30" t="n">
        <f aca="false">I469</f>
        <v>81.1249491641916</v>
      </c>
      <c r="J481" s="30" t="n">
        <f aca="false">J469</f>
        <v>82.5497857067254</v>
      </c>
      <c r="K481" s="30" t="n">
        <f aca="false">K469</f>
        <v>83.9979571836874</v>
      </c>
      <c r="L481" s="30" t="n">
        <f aca="false">L469</f>
        <v>85.4697885868815</v>
      </c>
      <c r="M481" s="30" t="n">
        <f aca="false">M469</f>
        <v>66.9341147584878</v>
      </c>
      <c r="N481" s="30" t="n">
        <f aca="false">N469+$C$477</f>
        <v>1396.59304089914</v>
      </c>
    </row>
    <row r="482" customFormat="false" ht="15" hidden="false" customHeight="false" outlineLevel="0" collapsed="false">
      <c r="B482" s="29" t="s">
        <v>172</v>
      </c>
      <c r="C482" s="31" t="n">
        <f aca="false">IRR(D481:N481,0.08)</f>
        <v>0.0835079072089894</v>
      </c>
    </row>
    <row r="484" customFormat="false" ht="15" hidden="false" customHeight="false" outlineLevel="0" collapsed="false">
      <c r="B484" s="9" t="s">
        <v>180</v>
      </c>
      <c r="C484" s="24" t="n">
        <f aca="false">Inputs!$C$77*$C$447</f>
        <v>495</v>
      </c>
    </row>
    <row r="485" customFormat="false" ht="15" hidden="false" customHeight="false" outlineLevel="0" collapsed="false">
      <c r="B485" s="9" t="s">
        <v>181</v>
      </c>
      <c r="C485" s="24" t="n">
        <f aca="false">$C$484*Inputs!$C$78/(1-(1+Inputs!$C$78)^(-Inputs!$C$80))</f>
        <v>38.7222255150756</v>
      </c>
    </row>
    <row r="486" customFormat="false" ht="15" hidden="false" customHeight="false" outlineLevel="0" collapsed="false">
      <c r="B486" s="9" t="s">
        <v>182</v>
      </c>
      <c r="C486" s="24" t="n">
        <f aca="false">$C$484*(1+Inputs!$C$78)^(Inputs!$C$81-Inputs!$C$79)-$C$485*((1+Inputs!$C$78)^(Inputs!$C$81-Inputs!$C$79)-1)/Inputs!$C$78</f>
        <v>444.140876065435</v>
      </c>
    </row>
    <row r="487" customFormat="false" ht="15" hidden="false" customHeight="false" outlineLevel="0" collapsed="false">
      <c r="B487" s="9" t="s">
        <v>183</v>
      </c>
      <c r="C487" s="20" t="n">
        <f aca="false">IF($C$437="renew",1,0)</f>
        <v>1</v>
      </c>
    </row>
    <row r="488" customFormat="false" ht="15" hidden="false" customHeight="false" outlineLevel="0" collapsed="false">
      <c r="B488" s="9" t="s">
        <v>184</v>
      </c>
      <c r="C488" s="20" t="n">
        <f aca="false">IF($C$487=1,Inputs!$C$86,Inputs!$C$87)</f>
        <v>20</v>
      </c>
    </row>
    <row r="489" customFormat="false" ht="15" hidden="false" customHeight="false" outlineLevel="0" collapsed="false">
      <c r="B489" s="9" t="s">
        <v>185</v>
      </c>
      <c r="C489" s="24" t="n">
        <f aca="false">IF($C$487=1,INDEX($E$465:$O$465,(Inputs!$C$81+1))-INDEX($E$466:$O$466,(Inputs!$C$81+1)),INDEX($E$460:$O$460,(Inputs!$C$81+1))+INDEX($E$462:$O$462,(Inputs!$C$81+1))-INDEX($E$463:$O$463,(Inputs!$C$81+1))-Inputs!$C$12*INDEX($E$460:$O$460,(Inputs!$C$81+1))-Inputs!$C$39*(1+Inputs!$C$11)^((Inputs!$C$81+1)-1))</f>
        <v>85.4697885868815</v>
      </c>
    </row>
    <row r="490" customFormat="false" ht="15" hidden="false" customHeight="false" outlineLevel="0" collapsed="false">
      <c r="B490" s="9" t="s">
        <v>186</v>
      </c>
      <c r="C490" s="24" t="n">
        <f aca="false">$C$489/Inputs!$C$84</f>
        <v>61.0498489906296</v>
      </c>
    </row>
    <row r="491" customFormat="false" ht="15" hidden="false" customHeight="false" outlineLevel="0" collapsed="false">
      <c r="B491" s="9" t="s">
        <v>187</v>
      </c>
      <c r="C491" s="24" t="n">
        <f aca="false">$C$490*(1-(1+Inputs!$C$83)^(-$C$488))/Inputs!$C$83</f>
        <v>672.678203553656</v>
      </c>
    </row>
    <row r="492" customFormat="false" ht="15" hidden="false" customHeight="false" outlineLevel="0" collapsed="false">
      <c r="B492" s="9" t="s">
        <v>188</v>
      </c>
      <c r="C492" s="24" t="n">
        <f aca="false">$C$489/$C$472</f>
        <v>1344.06861668258</v>
      </c>
    </row>
    <row r="493" customFormat="false" ht="15" hidden="false" customHeight="false" outlineLevel="0" collapsed="false">
      <c r="B493" s="9" t="s">
        <v>189</v>
      </c>
      <c r="C493" s="24" t="n">
        <f aca="false">Inputs!$C$85*$C$492</f>
        <v>739.23773917542</v>
      </c>
    </row>
    <row r="494" customFormat="false" ht="15" hidden="false" customHeight="false" outlineLevel="0" collapsed="false">
      <c r="B494" s="29" t="s">
        <v>190</v>
      </c>
      <c r="C494" s="30" t="n">
        <f aca="false">MIN($C$491,$C$493)</f>
        <v>672.678203553656</v>
      </c>
    </row>
    <row r="495" customFormat="false" ht="15" hidden="false" customHeight="false" outlineLevel="0" collapsed="false">
      <c r="B495" s="29" t="s">
        <v>191</v>
      </c>
      <c r="C495" s="30" t="n">
        <f aca="false">$C$494*(1-Inputs!$C$82)-$C$486</f>
        <v>221.810545452684</v>
      </c>
    </row>
    <row r="496" customFormat="false" ht="15" hidden="false" customHeight="false" outlineLevel="0" collapsed="false">
      <c r="B496" s="9" t="s">
        <v>192</v>
      </c>
      <c r="C496" s="24" t="n">
        <f aca="false">$C$494*Inputs!$C$83/(1-(1+Inputs!$C$83)^(-$C$488))</f>
        <v>61.0498489906296</v>
      </c>
    </row>
    <row r="498" customFormat="false" ht="15" hidden="false" customHeight="false" outlineLevel="0" collapsed="false">
      <c r="B498" s="25" t="s">
        <v>193</v>
      </c>
      <c r="C498" s="26"/>
      <c r="D498" s="26" t="n">
        <v>0</v>
      </c>
      <c r="E498" s="26" t="n">
        <v>1</v>
      </c>
      <c r="F498" s="26" t="n">
        <v>2</v>
      </c>
      <c r="G498" s="26" t="n">
        <v>3</v>
      </c>
      <c r="H498" s="26" t="n">
        <v>4</v>
      </c>
      <c r="I498" s="26" t="n">
        <v>5</v>
      </c>
      <c r="J498" s="26" t="n">
        <v>6</v>
      </c>
      <c r="K498" s="26" t="n">
        <v>7</v>
      </c>
      <c r="L498" s="26" t="n">
        <v>8</v>
      </c>
      <c r="M498" s="26" t="n">
        <v>9</v>
      </c>
      <c r="N498" s="26" t="n">
        <v>10</v>
      </c>
    </row>
    <row r="499" customFormat="false" ht="15" hidden="false" customHeight="false" outlineLevel="0" collapsed="false">
      <c r="B499" s="9" t="s">
        <v>194</v>
      </c>
      <c r="E499" s="24" t="n">
        <f aca="false">$C$484</f>
        <v>495</v>
      </c>
      <c r="F499" s="24" t="n">
        <f aca="false">IF(F$498=Inputs!$C$81+1,$C$494,E503)</f>
        <v>495</v>
      </c>
      <c r="G499" s="24" t="n">
        <f aca="false">IF(G$498=Inputs!$C$81+1,$C$494,F503)</f>
        <v>495</v>
      </c>
      <c r="H499" s="24" t="n">
        <f aca="false">IF(H$498=Inputs!$C$81+1,$C$494,G503)</f>
        <v>485.977774484924</v>
      </c>
      <c r="I499" s="24" t="n">
        <f aca="false">IF(I$498=Inputs!$C$81+1,$C$494,H503)</f>
        <v>476.414215438944</v>
      </c>
      <c r="J499" s="24" t="n">
        <f aca="false">IF(J$498=Inputs!$C$81+1,$C$494,I503)</f>
        <v>466.276842850205</v>
      </c>
      <c r="K499" s="24" t="n">
        <f aca="false">IF(K$498=Inputs!$C$81+1,$C$494,J503)</f>
        <v>455.531227906142</v>
      </c>
      <c r="L499" s="24" t="n">
        <f aca="false">IF(L$498=Inputs!$C$81+1,$C$494,K503)</f>
        <v>672.678203553656</v>
      </c>
      <c r="M499" s="24" t="n">
        <f aca="false">IF(M$498=Inputs!$C$81+1,$C$494,L503)</f>
        <v>655.352437794014</v>
      </c>
      <c r="N499" s="24" t="n">
        <f aca="false">IF(N$498=Inputs!$C$81+1,$C$494,M503)</f>
        <v>636.900497259995</v>
      </c>
    </row>
    <row r="500" customFormat="false" ht="15" hidden="false" customHeight="false" outlineLevel="0" collapsed="false">
      <c r="B500" s="9" t="s">
        <v>195</v>
      </c>
      <c r="E500" s="23" t="n">
        <f aca="false">IF(E$498&lt;=Inputs!$C$81,Inputs!$C$78,Inputs!$C$83)</f>
        <v>0.06</v>
      </c>
      <c r="F500" s="23" t="n">
        <f aca="false">IF(F$498&lt;=Inputs!$C$81,Inputs!$C$78,Inputs!$C$83)</f>
        <v>0.06</v>
      </c>
      <c r="G500" s="23" t="n">
        <f aca="false">IF(G$498&lt;=Inputs!$C$81,Inputs!$C$78,Inputs!$C$83)</f>
        <v>0.06</v>
      </c>
      <c r="H500" s="23" t="n">
        <f aca="false">IF(H$498&lt;=Inputs!$C$81,Inputs!$C$78,Inputs!$C$83)</f>
        <v>0.06</v>
      </c>
      <c r="I500" s="23" t="n">
        <f aca="false">IF(I$498&lt;=Inputs!$C$81,Inputs!$C$78,Inputs!$C$83)</f>
        <v>0.06</v>
      </c>
      <c r="J500" s="23" t="n">
        <f aca="false">IF(J$498&lt;=Inputs!$C$81,Inputs!$C$78,Inputs!$C$83)</f>
        <v>0.06</v>
      </c>
      <c r="K500" s="23" t="n">
        <f aca="false">IF(K$498&lt;=Inputs!$C$81,Inputs!$C$78,Inputs!$C$83)</f>
        <v>0.06</v>
      </c>
      <c r="L500" s="23" t="n">
        <f aca="false">IF(L$498&lt;=Inputs!$C$81,Inputs!$C$78,Inputs!$C$83)</f>
        <v>0.065</v>
      </c>
      <c r="M500" s="23" t="n">
        <f aca="false">IF(M$498&lt;=Inputs!$C$81,Inputs!$C$78,Inputs!$C$83)</f>
        <v>0.065</v>
      </c>
      <c r="N500" s="23" t="n">
        <f aca="false">IF(N$498&lt;=Inputs!$C$81,Inputs!$C$78,Inputs!$C$83)</f>
        <v>0.065</v>
      </c>
    </row>
    <row r="501" customFormat="false" ht="15" hidden="false" customHeight="false" outlineLevel="0" collapsed="false">
      <c r="B501" s="9" t="s">
        <v>196</v>
      </c>
      <c r="E501" s="24" t="n">
        <f aca="false">E499*E500</f>
        <v>29.7</v>
      </c>
      <c r="F501" s="24" t="n">
        <f aca="false">F499*F500</f>
        <v>29.7</v>
      </c>
      <c r="G501" s="24" t="n">
        <f aca="false">G499*G500</f>
        <v>29.7</v>
      </c>
      <c r="H501" s="24" t="n">
        <f aca="false">H499*H500</f>
        <v>29.1586664690955</v>
      </c>
      <c r="I501" s="24" t="n">
        <f aca="false">I499*I500</f>
        <v>28.5848529263367</v>
      </c>
      <c r="J501" s="24" t="n">
        <f aca="false">J499*J500</f>
        <v>27.9766105710123</v>
      </c>
      <c r="K501" s="24" t="n">
        <f aca="false">K499*K500</f>
        <v>27.3318736743685</v>
      </c>
      <c r="L501" s="24" t="n">
        <f aca="false">L499*L500</f>
        <v>43.7240832309876</v>
      </c>
      <c r="M501" s="24" t="n">
        <f aca="false">M499*M500</f>
        <v>42.5979084566109</v>
      </c>
      <c r="N501" s="24" t="n">
        <f aca="false">N499*N500</f>
        <v>41.3985323218997</v>
      </c>
    </row>
    <row r="502" customFormat="false" ht="15" hidden="false" customHeight="false" outlineLevel="0" collapsed="false">
      <c r="B502" s="9" t="s">
        <v>197</v>
      </c>
      <c r="E502" s="24" t="n">
        <f aca="false">IF(E$498&lt;=Inputs!$C$81,IF(E$498&lt;=Inputs!$C$79,0,$C$485-E501),$C$496-E501)</f>
        <v>0</v>
      </c>
      <c r="F502" s="24" t="n">
        <f aca="false">IF(F$498&lt;=Inputs!$C$81,IF(F$498&lt;=Inputs!$C$79,0,$C$485-F501),$C$496-F501)</f>
        <v>0</v>
      </c>
      <c r="G502" s="24" t="n">
        <f aca="false">IF(G$498&lt;=Inputs!$C$81,IF(G$498&lt;=Inputs!$C$79,0,$C$485-G501),$C$496-G501)</f>
        <v>9.0222255150756</v>
      </c>
      <c r="H502" s="24" t="n">
        <f aca="false">IF(H$498&lt;=Inputs!$C$81,IF(H$498&lt;=Inputs!$C$79,0,$C$485-H501),$C$496-H501)</f>
        <v>9.56355904598014</v>
      </c>
      <c r="I502" s="24" t="n">
        <f aca="false">IF(I$498&lt;=Inputs!$C$81,IF(I$498&lt;=Inputs!$C$79,0,$C$485-I501),$C$496-I501)</f>
        <v>10.1373725887389</v>
      </c>
      <c r="J502" s="24" t="n">
        <f aca="false">IF(J$498&lt;=Inputs!$C$81,IF(J$498&lt;=Inputs!$C$79,0,$C$485-J501),$C$496-J501)</f>
        <v>10.7456149440633</v>
      </c>
      <c r="K502" s="24" t="n">
        <f aca="false">IF(K$498&lt;=Inputs!$C$81,IF(K$498&lt;=Inputs!$C$79,0,$C$485-K501),$C$496-K501)</f>
        <v>11.3903518407071</v>
      </c>
      <c r="L502" s="24" t="n">
        <f aca="false">IF(L$498&lt;=Inputs!$C$81,IF(L$498&lt;=Inputs!$C$79,0,$C$485-L501),$C$496-L501)</f>
        <v>17.325765759642</v>
      </c>
      <c r="M502" s="24" t="n">
        <f aca="false">IF(M$498&lt;=Inputs!$C$81,IF(M$498&lt;=Inputs!$C$79,0,$C$485-M501),$C$496-M501)</f>
        <v>18.4519405340187</v>
      </c>
      <c r="N502" s="24" t="n">
        <f aca="false">IF(N$498&lt;=Inputs!$C$81,IF(N$498&lt;=Inputs!$C$79,0,$C$485-N501),$C$496-N501)</f>
        <v>19.65131666873</v>
      </c>
    </row>
    <row r="503" customFormat="false" ht="15" hidden="false" customHeight="false" outlineLevel="0" collapsed="false">
      <c r="B503" s="29" t="s">
        <v>198</v>
      </c>
      <c r="E503" s="30" t="n">
        <f aca="false">E499-E502</f>
        <v>495</v>
      </c>
      <c r="F503" s="30" t="n">
        <f aca="false">F499-F502</f>
        <v>495</v>
      </c>
      <c r="G503" s="30" t="n">
        <f aca="false">G499-G502</f>
        <v>485.977774484924</v>
      </c>
      <c r="H503" s="30" t="n">
        <f aca="false">H499-H502</f>
        <v>476.414215438944</v>
      </c>
      <c r="I503" s="30" t="n">
        <f aca="false">I499-I502</f>
        <v>466.276842850205</v>
      </c>
      <c r="J503" s="30" t="n">
        <f aca="false">J499-J502</f>
        <v>455.531227906142</v>
      </c>
      <c r="K503" s="30" t="n">
        <f aca="false">K499-K502</f>
        <v>444.140876065435</v>
      </c>
      <c r="L503" s="30" t="n">
        <f aca="false">L499-L502</f>
        <v>655.352437794014</v>
      </c>
      <c r="M503" s="30" t="n">
        <f aca="false">M499-M502</f>
        <v>636.900497259995</v>
      </c>
      <c r="N503" s="30" t="n">
        <f aca="false">N499-N502</f>
        <v>617.249180591265</v>
      </c>
    </row>
    <row r="504" customFormat="false" ht="15" hidden="false" customHeight="false" outlineLevel="0" collapsed="false">
      <c r="B504" s="9" t="s">
        <v>199</v>
      </c>
      <c r="E504" s="24" t="n">
        <f aca="false">E501+E502</f>
        <v>29.7</v>
      </c>
      <c r="F504" s="24" t="n">
        <f aca="false">F501+F502</f>
        <v>29.7</v>
      </c>
      <c r="G504" s="24" t="n">
        <f aca="false">G501+G502</f>
        <v>38.7222255150756</v>
      </c>
      <c r="H504" s="24" t="n">
        <f aca="false">H501+H502</f>
        <v>38.7222255150756</v>
      </c>
      <c r="I504" s="24" t="n">
        <f aca="false">I501+I502</f>
        <v>38.7222255150756</v>
      </c>
      <c r="J504" s="24" t="n">
        <f aca="false">J501+J502</f>
        <v>38.7222255150756</v>
      </c>
      <c r="K504" s="24" t="n">
        <f aca="false">K501+K502</f>
        <v>38.7222255150756</v>
      </c>
      <c r="L504" s="24" t="n">
        <f aca="false">L501+L502</f>
        <v>61.0498489906296</v>
      </c>
      <c r="M504" s="24" t="n">
        <f aca="false">M501+M502</f>
        <v>61.0498489906296</v>
      </c>
      <c r="N504" s="24" t="n">
        <f aca="false">N501+N502</f>
        <v>61.0498489906296</v>
      </c>
    </row>
    <row r="505" customFormat="false" ht="15" hidden="false" customHeight="false" outlineLevel="0" collapsed="false">
      <c r="B505" s="9" t="s">
        <v>200</v>
      </c>
      <c r="E505" s="22" t="n">
        <f aca="false">(E465-E466)/E504</f>
        <v>1.66612945454545</v>
      </c>
      <c r="F505" s="22" t="n">
        <f aca="false">(F465-F466)/F504</f>
        <v>1.71053046949495</v>
      </c>
      <c r="G505" s="22" t="n">
        <f aca="false">(G465-G466)/G504</f>
        <v>2.04570241088131</v>
      </c>
      <c r="H505" s="22" t="n">
        <f aca="false">(H465-H466)/H504</f>
        <v>2.09424485669414</v>
      </c>
      <c r="I505" s="22" t="n">
        <f aca="false">(I465-I466)/I504</f>
        <v>2.09504872421673</v>
      </c>
      <c r="J505" s="22" t="n">
        <f aca="false">(J465-J466)/J504</f>
        <v>2.13184507369254</v>
      </c>
      <c r="K505" s="22" t="n">
        <f aca="false">(K465-K466)/K504</f>
        <v>2.16924404696173</v>
      </c>
      <c r="L505" s="22" t="n">
        <f aca="false">(L465-L466)/L504</f>
        <v>1.4</v>
      </c>
      <c r="M505" s="22" t="n">
        <f aca="false">(M465-M466)/M504</f>
        <v>1.30604933635014</v>
      </c>
      <c r="N505" s="22" t="n">
        <f aca="false">(N465-N466)/N504</f>
        <v>1.32858021317587</v>
      </c>
    </row>
    <row r="506" customFormat="false" ht="15" hidden="false" customHeight="false" outlineLevel="0" collapsed="false">
      <c r="B506" s="29" t="s">
        <v>201</v>
      </c>
      <c r="C506" s="32" t="n">
        <f aca="false">MIN(I505:K505)</f>
        <v>2.09504872421673</v>
      </c>
    </row>
    <row r="508" customFormat="false" ht="15" hidden="false" customHeight="false" outlineLevel="0" collapsed="false">
      <c r="B508" s="25" t="s">
        <v>202</v>
      </c>
      <c r="C508" s="26"/>
      <c r="D508" s="26" t="n">
        <v>0</v>
      </c>
      <c r="E508" s="26" t="n">
        <v>1</v>
      </c>
      <c r="F508" s="26" t="n">
        <v>2</v>
      </c>
      <c r="G508" s="26" t="n">
        <v>3</v>
      </c>
      <c r="H508" s="26" t="n">
        <v>4</v>
      </c>
      <c r="I508" s="26" t="n">
        <v>5</v>
      </c>
      <c r="J508" s="26" t="n">
        <v>6</v>
      </c>
      <c r="K508" s="26" t="n">
        <v>7</v>
      </c>
      <c r="L508" s="26" t="n">
        <v>8</v>
      </c>
      <c r="M508" s="26" t="n">
        <v>9</v>
      </c>
      <c r="N508" s="26" t="n">
        <v>10</v>
      </c>
    </row>
    <row r="509" customFormat="false" ht="15" hidden="false" customHeight="false" outlineLevel="0" collapsed="false">
      <c r="B509" s="9" t="s">
        <v>203</v>
      </c>
      <c r="D509" s="24" t="n">
        <f aca="false">$C$484*(1-Inputs!$C$82)</f>
        <v>490.05</v>
      </c>
      <c r="E509" s="24" t="n">
        <f aca="false">-E504+IF(E$498=Inputs!$C$81,$C$495,0)</f>
        <v>-29.7</v>
      </c>
      <c r="F509" s="24" t="n">
        <f aca="false">-F504+IF(F$498=Inputs!$C$81,$C$495,0)</f>
        <v>-29.7</v>
      </c>
      <c r="G509" s="24" t="n">
        <f aca="false">-G504+IF(G$498=Inputs!$C$81,$C$495,0)</f>
        <v>-38.7222255150756</v>
      </c>
      <c r="H509" s="24" t="n">
        <f aca="false">-H504+IF(H$498=Inputs!$C$81,$C$495,0)</f>
        <v>-38.7222255150756</v>
      </c>
      <c r="I509" s="24" t="n">
        <f aca="false">-I504+IF(I$498=Inputs!$C$81,$C$495,0)</f>
        <v>-38.7222255150756</v>
      </c>
      <c r="J509" s="24" t="n">
        <f aca="false">-J504+IF(J$498=Inputs!$C$81,$C$495,0)</f>
        <v>-38.7222255150756</v>
      </c>
      <c r="K509" s="24" t="n">
        <f aca="false">-K504+IF(K$498=Inputs!$C$81,$C$495,0)</f>
        <v>183.088319937608</v>
      </c>
      <c r="L509" s="24" t="n">
        <f aca="false">-L504+IF(L$498=Inputs!$C$81,$C$495,0)</f>
        <v>-61.0498489906296</v>
      </c>
      <c r="M509" s="24" t="n">
        <f aca="false">-M504+IF(M$498=Inputs!$C$81,$C$495,0)</f>
        <v>-61.0498489906296</v>
      </c>
      <c r="N509" s="24" t="n">
        <f aca="false">-N504+IF(N$498=Inputs!$C$81,$C$495,0)-N503</f>
        <v>-678.299029581895</v>
      </c>
    </row>
    <row r="510" customFormat="false" ht="15" hidden="false" customHeight="false" outlineLevel="0" collapsed="false">
      <c r="B510" s="29" t="s">
        <v>202</v>
      </c>
      <c r="D510" s="30" t="n">
        <f aca="false">D481+D509</f>
        <v>-427.95</v>
      </c>
      <c r="E510" s="30" t="n">
        <f aca="false">E481+E509</f>
        <v>-64.2159552</v>
      </c>
      <c r="F510" s="30" t="n">
        <f aca="false">F481+F509</f>
        <v>-62.897245056</v>
      </c>
      <c r="G510" s="30" t="n">
        <f aca="false">G481+G509</f>
        <v>40.4919245758044</v>
      </c>
      <c r="H510" s="30" t="n">
        <f aca="false">H481+H509</f>
        <v>42.371596109622</v>
      </c>
      <c r="I510" s="30" t="n">
        <f aca="false">I481+I509</f>
        <v>42.4027236491159</v>
      </c>
      <c r="J510" s="30" t="n">
        <f aca="false">J481+J509</f>
        <v>43.8275601916498</v>
      </c>
      <c r="K510" s="30" t="n">
        <f aca="false">K481+K509</f>
        <v>267.086277121296</v>
      </c>
      <c r="L510" s="30" t="n">
        <f aca="false">L481+L509</f>
        <v>24.4199395962519</v>
      </c>
      <c r="M510" s="30" t="n">
        <f aca="false">M481+M509</f>
        <v>5.88426576785821</v>
      </c>
      <c r="N510" s="30" t="n">
        <f aca="false">N481+N509</f>
        <v>718.294011317241</v>
      </c>
    </row>
    <row r="511" customFormat="false" ht="15" hidden="false" customHeight="false" outlineLevel="0" collapsed="false">
      <c r="B511" s="29" t="s">
        <v>204</v>
      </c>
      <c r="C511" s="31" t="n">
        <f aca="false">IRR(D510:N510,0.08)</f>
        <v>0.1</v>
      </c>
    </row>
    <row r="512" customFormat="false" ht="15" hidden="false" customHeight="false" outlineLevel="0" collapsed="false">
      <c r="B512" s="9" t="s">
        <v>205</v>
      </c>
      <c r="C512" s="33" t="n">
        <f aca="false">SUMIF(D510:N510,"&gt;0")/-SUMIF(D510:N510,"&lt;0")</f>
        <v>2.1344926087379</v>
      </c>
    </row>
    <row r="513" customFormat="false" ht="15" hidden="false" customHeight="false" outlineLevel="0" collapsed="false">
      <c r="B513" s="9" t="s">
        <v>206</v>
      </c>
      <c r="C513" s="24" t="n">
        <f aca="false">-D510</f>
        <v>427.95</v>
      </c>
    </row>
    <row r="515" customFormat="false" ht="15" hidden="false" customHeight="false" outlineLevel="0" collapsed="false">
      <c r="B515" s="29" t="s">
        <v>268</v>
      </c>
      <c r="C515" s="31" t="n">
        <f aca="false">Inputs!$C$97</f>
        <v>0.1</v>
      </c>
    </row>
    <row r="516" customFormat="false" ht="15" hidden="false" customHeight="false" outlineLevel="0" collapsed="false">
      <c r="B516" s="29" t="s">
        <v>269</v>
      </c>
      <c r="C516" s="31" t="n">
        <f aca="false">Thresholds!$C$511</f>
        <v>0.1</v>
      </c>
    </row>
    <row r="517" customFormat="false" ht="15" hidden="false" customHeight="false" outlineLevel="0" collapsed="false">
      <c r="B517" s="29" t="s">
        <v>264</v>
      </c>
      <c r="C517" s="37" t="n">
        <f aca="false">C516-C515</f>
        <v>0</v>
      </c>
    </row>
    <row r="518" customFormat="false" ht="15" hidden="false" customHeight="false" outlineLevel="0" collapsed="false">
      <c r="B518" s="29" t="s">
        <v>265</v>
      </c>
      <c r="C518" s="38" t="str">
        <f aca="false">IF(ABS(C517)&lt;=0.000001,"OK","FAIL")</f>
        <v>OK</v>
      </c>
    </row>
    <row r="521" customFormat="false" ht="15" hidden="false" customHeight="false" outlineLevel="0" collapsed="false">
      <c r="B521" s="7" t="s">
        <v>280</v>
      </c>
      <c r="C521" s="8"/>
      <c r="D521" s="8"/>
      <c r="E521" s="8"/>
      <c r="F521" s="8"/>
      <c r="G521" s="8"/>
      <c r="H521" s="8"/>
      <c r="I521" s="8"/>
      <c r="J521" s="8"/>
      <c r="K521" s="8"/>
      <c r="L521" s="8"/>
      <c r="M521" s="8"/>
      <c r="N521" s="8"/>
      <c r="O521" s="8"/>
    </row>
    <row r="522" customFormat="false" ht="15" hidden="false" customHeight="false" outlineLevel="0" collapsed="false">
      <c r="B522" s="29" t="s">
        <v>281</v>
      </c>
      <c r="C522" s="40" t="n">
        <v>909.608962398473</v>
      </c>
      <c r="D522" s="6" t="s">
        <v>261</v>
      </c>
    </row>
    <row r="523" customFormat="false" ht="15" hidden="false" customHeight="false" outlineLevel="0" collapsed="false">
      <c r="B523" s="9" t="s">
        <v>130</v>
      </c>
      <c r="C523" s="18" t="str">
        <f aca="false">Inputs!$C$42</f>
        <v>renew</v>
      </c>
    </row>
    <row r="524" customFormat="false" ht="15" hidden="false" customHeight="false" outlineLevel="0" collapsed="false">
      <c r="B524" s="9" t="s">
        <v>131</v>
      </c>
      <c r="C524" s="19" t="n">
        <f aca="false">Inputs!$C$25</f>
        <v>0</v>
      </c>
    </row>
    <row r="525" customFormat="false" ht="15" hidden="false" customHeight="false" outlineLevel="0" collapsed="false">
      <c r="B525" s="9" t="s">
        <v>132</v>
      </c>
      <c r="C525" s="20" t="n">
        <f aca="false">Inputs!$C$32</f>
        <v>3</v>
      </c>
    </row>
    <row r="526" customFormat="false" ht="15" hidden="false" customHeight="false" outlineLevel="0" collapsed="false">
      <c r="B526" s="9" t="s">
        <v>133</v>
      </c>
      <c r="C526" s="13" t="n">
        <v>0</v>
      </c>
    </row>
    <row r="527" customFormat="false" ht="15" hidden="false" customHeight="false" outlineLevel="0" collapsed="false">
      <c r="B527" s="9" t="s">
        <v>134</v>
      </c>
      <c r="C527" s="21" t="n">
        <f aca="false">Inputs!$C$60</f>
        <v>0.45</v>
      </c>
    </row>
    <row r="528" customFormat="false" ht="15" hidden="false" customHeight="false" outlineLevel="0" collapsed="false">
      <c r="B528" s="9" t="s">
        <v>135</v>
      </c>
      <c r="C528" s="22" t="n">
        <f aca="false">Inputs!$C$61</f>
        <v>1.55</v>
      </c>
    </row>
    <row r="529" customFormat="false" ht="15" hidden="false" customHeight="false" outlineLevel="0" collapsed="false">
      <c r="B529" s="9" t="s">
        <v>136</v>
      </c>
      <c r="C529" s="23" t="n">
        <f aca="false">Inputs!$C$71</f>
        <v>0</v>
      </c>
    </row>
    <row r="530" customFormat="false" ht="15" hidden="false" customHeight="false" outlineLevel="0" collapsed="false">
      <c r="B530" s="9" t="s">
        <v>30</v>
      </c>
      <c r="C530" s="22" t="n">
        <f aca="false">Inputs!$C$18</f>
        <v>1.4</v>
      </c>
    </row>
    <row r="531" customFormat="false" ht="15" hidden="false" customHeight="false" outlineLevel="0" collapsed="false">
      <c r="B531" s="9" t="s">
        <v>137</v>
      </c>
      <c r="C531" s="19" t="n">
        <f aca="false">Inputs!$C$43</f>
        <v>0.9</v>
      </c>
    </row>
    <row r="532" customFormat="false" ht="15" hidden="false" customHeight="false" outlineLevel="0" collapsed="false">
      <c r="B532" s="9" t="s">
        <v>138</v>
      </c>
      <c r="C532" s="24" t="n">
        <f aca="false">Inputs!$C$49</f>
        <v>120</v>
      </c>
    </row>
    <row r="533" customFormat="false" ht="15" hidden="false" customHeight="false" outlineLevel="0" collapsed="false">
      <c r="B533" s="9" t="s">
        <v>139</v>
      </c>
      <c r="C533" s="24" t="n">
        <f aca="false">$C$522</f>
        <v>909.608962398473</v>
      </c>
    </row>
    <row r="534" customFormat="false" ht="15" hidden="false" customHeight="false" outlineLevel="0" collapsed="false">
      <c r="B534" s="9" t="s">
        <v>140</v>
      </c>
      <c r="C534" s="24" t="n">
        <f aca="false">Inputs!$C$6*1000*Inputs!$C$7*12*(1+Inputs!$C$8)^(Inputs!$C$9-1)/1000000</f>
        <v>60.8711509000706</v>
      </c>
    </row>
    <row r="535" customFormat="false" ht="15" hidden="false" customHeight="false" outlineLevel="0" collapsed="false">
      <c r="B535" s="25" t="s">
        <v>141</v>
      </c>
      <c r="C535" s="26"/>
      <c r="E535" s="26" t="n">
        <v>1</v>
      </c>
      <c r="F535" s="26" t="n">
        <v>2</v>
      </c>
      <c r="G535" s="26" t="n">
        <v>3</v>
      </c>
      <c r="H535" s="26" t="n">
        <v>4</v>
      </c>
      <c r="I535" s="26" t="n">
        <v>5</v>
      </c>
      <c r="J535" s="26" t="n">
        <v>6</v>
      </c>
      <c r="K535" s="26" t="n">
        <v>7</v>
      </c>
      <c r="L535" s="26" t="n">
        <v>8</v>
      </c>
      <c r="M535" s="26" t="n">
        <v>9</v>
      </c>
      <c r="N535" s="26" t="n">
        <v>10</v>
      </c>
      <c r="O535" s="26" t="n">
        <v>11</v>
      </c>
    </row>
    <row r="536" customFormat="false" ht="15" hidden="false" customHeight="false" outlineLevel="0" collapsed="false">
      <c r="B536" s="9" t="s">
        <v>142</v>
      </c>
      <c r="E536" s="24" t="n">
        <f aca="false">IF(E$535&lt;=Inputs!$C$22,Inputs!$C$21,Inputs!$C$23*(1+Inputs!$C$24)^(E$535-5)*IF(AND($C$524&lt;&gt;0,E$535&gt;=Inputs!$C$26),1+$C$524,1))</f>
        <v>61</v>
      </c>
      <c r="F536" s="24" t="n">
        <f aca="false">IF(F$535&lt;=Inputs!$C$22,Inputs!$C$21,Inputs!$C$23*(1+Inputs!$C$24)^(F$535-5)*IF(AND($C$524&lt;&gt;0,F$535&gt;=Inputs!$C$26),1+$C$524,1))</f>
        <v>61</v>
      </c>
      <c r="G536" s="24" t="n">
        <f aca="false">IF(G$535&lt;=Inputs!$C$22,Inputs!$C$21,Inputs!$C$23*(1+Inputs!$C$24)^(G$535-5)*IF(AND($C$524&lt;&gt;0,G$535&gt;=Inputs!$C$26),1+$C$524,1))</f>
        <v>61</v>
      </c>
      <c r="H536" s="24" t="n">
        <f aca="false">IF(H$535&lt;=Inputs!$C$22,Inputs!$C$21,Inputs!$C$23*(1+Inputs!$C$24)^(H$535-5)*IF(AND($C$524&lt;&gt;0,H$535&gt;=Inputs!$C$26),1+$C$524,1))</f>
        <v>61</v>
      </c>
      <c r="I536" s="24" t="n">
        <f aca="false">IF(I$535&lt;=Inputs!$C$22,Inputs!$C$21,Inputs!$C$23*(1+Inputs!$C$24)^(I$535-5)*IF(AND($C$524&lt;&gt;0,I$535&gt;=Inputs!$C$26),1+$C$524,1))</f>
        <v>67</v>
      </c>
      <c r="J536" s="24" t="n">
        <f aca="false">IF(J$535&lt;=Inputs!$C$22,Inputs!$C$21,Inputs!$C$23*(1+Inputs!$C$24)^(J$535-5)*IF(AND($C$524&lt;&gt;0,J$535&gt;=Inputs!$C$26),1+$C$524,1))</f>
        <v>68.675</v>
      </c>
      <c r="K536" s="24" t="n">
        <f aca="false">IF(K$535&lt;=Inputs!$C$22,Inputs!$C$21,Inputs!$C$23*(1+Inputs!$C$24)^(K$535-5)*IF(AND($C$524&lt;&gt;0,K$535&gt;=Inputs!$C$26),1+$C$524,1))</f>
        <v>70.391875</v>
      </c>
      <c r="L536" s="24" t="n">
        <f aca="false">IF(L$535&lt;=Inputs!$C$22,Inputs!$C$21,Inputs!$C$23*(1+Inputs!$C$24)^(L$535-5)*IF(AND($C$524&lt;&gt;0,L$535&gt;=Inputs!$C$26),1+$C$524,1))</f>
        <v>72.151671875</v>
      </c>
      <c r="M536" s="24" t="n">
        <f aca="false">IF(M$535&lt;=Inputs!$C$22,Inputs!$C$21,Inputs!$C$23*(1+Inputs!$C$24)^(M$535-5)*IF(AND($C$524&lt;&gt;0,M$535&gt;=Inputs!$C$26),1+$C$524,1))</f>
        <v>73.955463671875</v>
      </c>
      <c r="N536" s="24" t="n">
        <f aca="false">IF(N$535&lt;=Inputs!$C$22,Inputs!$C$21,Inputs!$C$23*(1+Inputs!$C$24)^(N$535-5)*IF(AND($C$524&lt;&gt;0,N$535&gt;=Inputs!$C$26),1+$C$524,1))</f>
        <v>75.8043502636718</v>
      </c>
      <c r="O536" s="24" t="n">
        <f aca="false">IF(O$535&lt;=Inputs!$C$22,Inputs!$C$21,Inputs!$C$23*(1+Inputs!$C$24)^(O$535-5)*IF(AND($C$524&lt;&gt;0,O$535&gt;=Inputs!$C$26),1+$C$524,1))</f>
        <v>77.6994590202636</v>
      </c>
    </row>
    <row r="537" customFormat="false" ht="15" hidden="false" customHeight="false" outlineLevel="0" collapsed="false">
      <c r="B537" s="9" t="s">
        <v>143</v>
      </c>
      <c r="E537" s="24" t="n">
        <f aca="false">Inputs!$C$19*(1+Inputs!$C$20)^(E$535-1)</f>
        <v>74</v>
      </c>
      <c r="F537" s="24" t="n">
        <f aca="false">Inputs!$C$19*(1+Inputs!$C$20)^(F$535-1)</f>
        <v>75.48</v>
      </c>
      <c r="G537" s="24" t="n">
        <f aca="false">Inputs!$C$19*(1+Inputs!$C$20)^(G$535-1)</f>
        <v>76.9896</v>
      </c>
      <c r="H537" s="24" t="n">
        <f aca="false">Inputs!$C$19*(1+Inputs!$C$20)^(H$535-1)</f>
        <v>78.529392</v>
      </c>
      <c r="I537" s="24" t="n">
        <f aca="false">Inputs!$C$19*(1+Inputs!$C$20)^(I$535-1)</f>
        <v>80.09997984</v>
      </c>
      <c r="J537" s="24" t="n">
        <f aca="false">Inputs!$C$19*(1+Inputs!$C$20)^(J$535-1)</f>
        <v>81.7019794368</v>
      </c>
      <c r="K537" s="24" t="n">
        <f aca="false">Inputs!$C$19*(1+Inputs!$C$20)^(K$535-1)</f>
        <v>83.336019025536</v>
      </c>
      <c r="L537" s="24" t="n">
        <f aca="false">Inputs!$C$19*(1+Inputs!$C$20)^(L$535-1)</f>
        <v>85.0027394060467</v>
      </c>
      <c r="M537" s="24" t="n">
        <f aca="false">Inputs!$C$19*(1+Inputs!$C$20)^(M$535-1)</f>
        <v>86.7027941941677</v>
      </c>
      <c r="N537" s="24" t="n">
        <f aca="false">Inputs!$C$19*(1+Inputs!$C$20)^(N$535-1)</f>
        <v>88.436850078051</v>
      </c>
      <c r="O537" s="24" t="n">
        <f aca="false">Inputs!$C$19*(1+Inputs!$C$20)^(O$535-1)</f>
        <v>90.205587079612</v>
      </c>
    </row>
    <row r="538" customFormat="false" ht="15" hidden="false" customHeight="false" outlineLevel="0" collapsed="false">
      <c r="B538" s="9" t="s">
        <v>144</v>
      </c>
      <c r="E538" s="27" t="n">
        <f aca="false">(1+Inputs!$C$11)^(E$535-1)</f>
        <v>1</v>
      </c>
      <c r="F538" s="27" t="n">
        <f aca="false">(1+Inputs!$C$11)^(F$535-1)</f>
        <v>1.03</v>
      </c>
      <c r="G538" s="27" t="n">
        <f aca="false">(1+Inputs!$C$11)^(G$535-1)</f>
        <v>1.0609</v>
      </c>
      <c r="H538" s="27" t="n">
        <f aca="false">(1+Inputs!$C$11)^(H$535-1)</f>
        <v>1.092727</v>
      </c>
      <c r="I538" s="27" t="n">
        <f aca="false">(1+Inputs!$C$11)^(I$535-1)</f>
        <v>1.12550881</v>
      </c>
      <c r="J538" s="27" t="n">
        <f aca="false">(1+Inputs!$C$11)^(J$535-1)</f>
        <v>1.1592740743</v>
      </c>
      <c r="K538" s="27" t="n">
        <f aca="false">(1+Inputs!$C$11)^(K$535-1)</f>
        <v>1.194052296529</v>
      </c>
      <c r="L538" s="27" t="n">
        <f aca="false">(1+Inputs!$C$11)^(L$535-1)</f>
        <v>1.22987386542487</v>
      </c>
      <c r="M538" s="27" t="n">
        <f aca="false">(1+Inputs!$C$11)^(M$535-1)</f>
        <v>1.26677008138762</v>
      </c>
      <c r="N538" s="27" t="n">
        <f aca="false">(1+Inputs!$C$11)^(N$535-1)</f>
        <v>1.30477318382925</v>
      </c>
      <c r="O538" s="27" t="n">
        <f aca="false">(1+Inputs!$C$11)^(O$535-1)</f>
        <v>1.34391637934412</v>
      </c>
    </row>
    <row r="539" customFormat="false" ht="15" hidden="false" customHeight="false" outlineLevel="0" collapsed="false">
      <c r="B539" s="9" t="s">
        <v>145</v>
      </c>
      <c r="E539" s="19" t="n">
        <f aca="false">IF(OR(E$535&lt;=Inputs!$C$9,$C$523="renew"),IF(AND($C$526&gt;0,E$535&gt;=$C$526),$C$527,Inputs!$C$16),IF($C$523="stranded",0,Inputs!$C$16))</f>
        <v>0.8</v>
      </c>
      <c r="F539" s="19" t="n">
        <f aca="false">IF(OR(F$535&lt;=Inputs!$C$9,$C$523="renew"),IF(AND($C$526&gt;0,F$535&gt;=$C$526),$C$527,Inputs!$C$16),IF($C$523="stranded",0,Inputs!$C$16))</f>
        <v>0.8</v>
      </c>
      <c r="G539" s="19" t="n">
        <f aca="false">IF(OR(G$535&lt;=Inputs!$C$9,$C$523="renew"),IF(AND($C$526&gt;0,G$535&gt;=$C$526),$C$527,Inputs!$C$16),IF($C$523="stranded",0,Inputs!$C$16))</f>
        <v>0.8</v>
      </c>
      <c r="H539" s="19" t="n">
        <f aca="false">IF(OR(H$535&lt;=Inputs!$C$9,$C$523="renew"),IF(AND($C$526&gt;0,H$535&gt;=$C$526),$C$527,Inputs!$C$16),IF($C$523="stranded",0,Inputs!$C$16))</f>
        <v>0.8</v>
      </c>
      <c r="I539" s="19" t="n">
        <f aca="false">IF(OR(I$535&lt;=Inputs!$C$9,$C$523="renew"),IF(AND($C$526&gt;0,I$535&gt;=$C$526),$C$527,Inputs!$C$16),IF($C$523="stranded",0,Inputs!$C$16))</f>
        <v>0.8</v>
      </c>
      <c r="J539" s="19" t="n">
        <f aca="false">IF(OR(J$535&lt;=Inputs!$C$9,$C$523="renew"),IF(AND($C$526&gt;0,J$535&gt;=$C$526),$C$527,Inputs!$C$16),IF($C$523="stranded",0,Inputs!$C$16))</f>
        <v>0.8</v>
      </c>
      <c r="K539" s="19" t="n">
        <f aca="false">IF(OR(K$535&lt;=Inputs!$C$9,$C$523="renew"),IF(AND($C$526&gt;0,K$535&gt;=$C$526),$C$527,Inputs!$C$16),IF($C$523="stranded",0,Inputs!$C$16))</f>
        <v>0.8</v>
      </c>
      <c r="L539" s="19" t="n">
        <f aca="false">IF(OR(L$535&lt;=Inputs!$C$9,$C$523="renew"),IF(AND($C$526&gt;0,L$535&gt;=$C$526),$C$527,Inputs!$C$16),IF($C$523="stranded",0,Inputs!$C$16))</f>
        <v>0.8</v>
      </c>
      <c r="M539" s="19" t="n">
        <f aca="false">IF(OR(M$535&lt;=Inputs!$C$9,$C$523="renew"),IF(AND($C$526&gt;0,M$535&gt;=$C$526),$C$527,Inputs!$C$16),IF($C$523="stranded",0,Inputs!$C$16))</f>
        <v>0.8</v>
      </c>
      <c r="N539" s="19" t="n">
        <f aca="false">IF(OR(N$535&lt;=Inputs!$C$9,$C$523="renew"),IF(AND($C$526&gt;0,N$535&gt;=$C$526),$C$527,Inputs!$C$16),IF($C$523="stranded",0,Inputs!$C$16))</f>
        <v>0.8</v>
      </c>
      <c r="O539" s="19" t="n">
        <f aca="false">IF(OR(O$535&lt;=Inputs!$C$9,$C$523="renew"),IF(AND($C$526&gt;0,O$535&gt;=$C$526),$C$527,Inputs!$C$16),IF($C$523="stranded",0,Inputs!$C$16))</f>
        <v>0.8</v>
      </c>
    </row>
    <row r="540" customFormat="false" ht="15" hidden="false" customHeight="false" outlineLevel="0" collapsed="false">
      <c r="B540" s="9" t="s">
        <v>146</v>
      </c>
      <c r="E540" s="22" t="n">
        <f aca="false">IF(OR(E$535&lt;=Inputs!$C$9,$C$523="renew"),IF(AND($C$526&gt;0,E$535&gt;=$C$526),$C$528,$C$530),IF($C$523="retrofit",Inputs!$C$47,IF($C$523="relet",Inputs!$C$53,0)))</f>
        <v>1.4</v>
      </c>
      <c r="F540" s="22" t="n">
        <f aca="false">IF(OR(F$535&lt;=Inputs!$C$9,$C$523="renew"),IF(AND($C$526&gt;0,F$535&gt;=$C$526),$C$528,$C$530),IF($C$523="retrofit",Inputs!$C$47,IF($C$523="relet",Inputs!$C$53,0)))</f>
        <v>1.4</v>
      </c>
      <c r="G540" s="22" t="n">
        <f aca="false">IF(OR(G$535&lt;=Inputs!$C$9,$C$523="renew"),IF(AND($C$526&gt;0,G$535&gt;=$C$526),$C$528,$C$530),IF($C$523="retrofit",Inputs!$C$47,IF($C$523="relet",Inputs!$C$53,0)))</f>
        <v>1.4</v>
      </c>
      <c r="H540" s="22" t="n">
        <f aca="false">IF(OR(H$535&lt;=Inputs!$C$9,$C$523="renew"),IF(AND($C$526&gt;0,H$535&gt;=$C$526),$C$528,$C$530),IF($C$523="retrofit",Inputs!$C$47,IF($C$523="relet",Inputs!$C$53,0)))</f>
        <v>1.4</v>
      </c>
      <c r="I540" s="22" t="n">
        <f aca="false">IF(OR(I$535&lt;=Inputs!$C$9,$C$523="renew"),IF(AND($C$526&gt;0,I$535&gt;=$C$526),$C$528,$C$530),IF($C$523="retrofit",Inputs!$C$47,IF($C$523="relet",Inputs!$C$53,0)))</f>
        <v>1.4</v>
      </c>
      <c r="J540" s="22" t="n">
        <f aca="false">IF(OR(J$535&lt;=Inputs!$C$9,$C$523="renew"),IF(AND($C$526&gt;0,J$535&gt;=$C$526),$C$528,$C$530),IF($C$523="retrofit",Inputs!$C$47,IF($C$523="relet",Inputs!$C$53,0)))</f>
        <v>1.4</v>
      </c>
      <c r="K540" s="22" t="n">
        <f aca="false">IF(OR(K$535&lt;=Inputs!$C$9,$C$523="renew"),IF(AND($C$526&gt;0,K$535&gt;=$C$526),$C$528,$C$530),IF($C$523="retrofit",Inputs!$C$47,IF($C$523="relet",Inputs!$C$53,0)))</f>
        <v>1.4</v>
      </c>
      <c r="L540" s="22" t="n">
        <f aca="false">IF(OR(L$535&lt;=Inputs!$C$9,$C$523="renew"),IF(AND($C$526&gt;0,L$535&gt;=$C$526),$C$528,$C$530),IF($C$523="retrofit",Inputs!$C$47,IF($C$523="relet",Inputs!$C$53,0)))</f>
        <v>1.4</v>
      </c>
      <c r="M540" s="22" t="n">
        <f aca="false">IF(OR(M$535&lt;=Inputs!$C$9,$C$523="renew"),IF(AND($C$526&gt;0,M$535&gt;=$C$526),$C$528,$C$530),IF($C$523="retrofit",Inputs!$C$47,IF($C$523="relet",Inputs!$C$53,0)))</f>
        <v>1.4</v>
      </c>
      <c r="N540" s="22" t="n">
        <f aca="false">IF(OR(N$535&lt;=Inputs!$C$9,$C$523="renew"),IF(AND($C$526&gt;0,N$535&gt;=$C$526),$C$528,$C$530),IF($C$523="retrofit",Inputs!$C$47,IF($C$523="relet",Inputs!$C$53,0)))</f>
        <v>1.4</v>
      </c>
      <c r="O540" s="22" t="n">
        <f aca="false">IF(OR(O$535&lt;=Inputs!$C$9,$C$523="renew"),IF(AND($C$526&gt;0,O$535&gt;=$C$526),$C$528,$C$530),IF($C$523="retrofit",Inputs!$C$47,IF($C$523="relet",Inputs!$C$53,0)))</f>
        <v>1.4</v>
      </c>
    </row>
    <row r="541" customFormat="false" ht="15" hidden="false" customHeight="false" outlineLevel="0" collapsed="false">
      <c r="B541" s="9" t="s">
        <v>147</v>
      </c>
      <c r="E541" s="21" t="n">
        <f aca="false">IF(OR(E$535&lt;=Inputs!$C$9,$C$523="renew"),1,IF($C$523="retrofit",IF(E$535-Inputs!$C$9=1,0,1),IF($C$523="relet",CHOOSE(MIN(E$535-Inputs!$C$9,3),Inputs!$C$50,Inputs!$C$51,Inputs!$C$52),0)))</f>
        <v>1</v>
      </c>
      <c r="F541" s="21" t="n">
        <f aca="false">IF(OR(F$535&lt;=Inputs!$C$9,$C$523="renew"),1,IF($C$523="retrofit",IF(F$535-Inputs!$C$9=1,0,1),IF($C$523="relet",CHOOSE(MIN(F$535-Inputs!$C$9,3),Inputs!$C$50,Inputs!$C$51,Inputs!$C$52),0)))</f>
        <v>1</v>
      </c>
      <c r="G541" s="21" t="n">
        <f aca="false">IF(OR(G$535&lt;=Inputs!$C$9,$C$523="renew"),1,IF($C$523="retrofit",IF(G$535-Inputs!$C$9=1,0,1),IF($C$523="relet",CHOOSE(MIN(G$535-Inputs!$C$9,3),Inputs!$C$50,Inputs!$C$51,Inputs!$C$52),0)))</f>
        <v>1</v>
      </c>
      <c r="H541" s="21" t="n">
        <f aca="false">IF(OR(H$535&lt;=Inputs!$C$9,$C$523="renew"),1,IF($C$523="retrofit",IF(H$535-Inputs!$C$9=1,0,1),IF($C$523="relet",CHOOSE(MIN(H$535-Inputs!$C$9,3),Inputs!$C$50,Inputs!$C$51,Inputs!$C$52),0)))</f>
        <v>1</v>
      </c>
      <c r="I541" s="21" t="n">
        <f aca="false">IF(OR(I$535&lt;=Inputs!$C$9,$C$523="renew"),1,IF($C$523="retrofit",IF(I$535-Inputs!$C$9=1,0,1),IF($C$523="relet",CHOOSE(MIN(I$535-Inputs!$C$9,3),Inputs!$C$50,Inputs!$C$51,Inputs!$C$52),0)))</f>
        <v>1</v>
      </c>
      <c r="J541" s="21" t="n">
        <f aca="false">IF(OR(J$535&lt;=Inputs!$C$9,$C$523="renew"),1,IF($C$523="retrofit",IF(J$535-Inputs!$C$9=1,0,1),IF($C$523="relet",CHOOSE(MIN(J$535-Inputs!$C$9,3),Inputs!$C$50,Inputs!$C$51,Inputs!$C$52),0)))</f>
        <v>1</v>
      </c>
      <c r="K541" s="21" t="n">
        <f aca="false">IF(OR(K$535&lt;=Inputs!$C$9,$C$523="renew"),1,IF($C$523="retrofit",IF(K$535-Inputs!$C$9=1,0,1),IF($C$523="relet",CHOOSE(MIN(K$535-Inputs!$C$9,3),Inputs!$C$50,Inputs!$C$51,Inputs!$C$52),0)))</f>
        <v>1</v>
      </c>
      <c r="L541" s="21" t="n">
        <f aca="false">IF(OR(L$535&lt;=Inputs!$C$9,$C$523="renew"),1,IF($C$523="retrofit",IF(L$535-Inputs!$C$9=1,0,1),IF($C$523="relet",CHOOSE(MIN(L$535-Inputs!$C$9,3),Inputs!$C$50,Inputs!$C$51,Inputs!$C$52),0)))</f>
        <v>1</v>
      </c>
      <c r="M541" s="21" t="n">
        <f aca="false">IF(OR(M$535&lt;=Inputs!$C$9,$C$523="renew"),1,IF($C$523="retrofit",IF(M$535-Inputs!$C$9=1,0,1),IF($C$523="relet",CHOOSE(MIN(M$535-Inputs!$C$9,3),Inputs!$C$50,Inputs!$C$51,Inputs!$C$52),0)))</f>
        <v>1</v>
      </c>
      <c r="N541" s="21" t="n">
        <f aca="false">IF(OR(N$535&lt;=Inputs!$C$9,$C$523="renew"),1,IF($C$523="retrofit",IF(N$535-Inputs!$C$9=1,0,1),IF($C$523="relet",CHOOSE(MIN(N$535-Inputs!$C$9,3),Inputs!$C$50,Inputs!$C$51,Inputs!$C$52),0)))</f>
        <v>1</v>
      </c>
      <c r="O541" s="21" t="n">
        <f aca="false">IF(OR(O$535&lt;=Inputs!$C$9,$C$523="renew"),1,IF($C$523="retrofit",IF(O$535-Inputs!$C$9=1,0,1),IF($C$523="relet",CHOOSE(MIN(O$535-Inputs!$C$9,3),Inputs!$C$50,Inputs!$C$51,Inputs!$C$52),0)))</f>
        <v>1</v>
      </c>
    </row>
    <row r="542" customFormat="false" ht="15" hidden="false" customHeight="false" outlineLevel="0" collapsed="false">
      <c r="B542" s="9" t="s">
        <v>148</v>
      </c>
      <c r="E542" s="28" t="n">
        <f aca="false">Inputs!$C$6*1000*E539*E541*8760/1000</f>
        <v>224256</v>
      </c>
      <c r="F542" s="28" t="n">
        <f aca="false">Inputs!$C$6*1000*F539*F541*8760/1000</f>
        <v>224256</v>
      </c>
      <c r="G542" s="28" t="n">
        <f aca="false">Inputs!$C$6*1000*G539*G541*8760/1000</f>
        <v>224256</v>
      </c>
      <c r="H542" s="28" t="n">
        <f aca="false">Inputs!$C$6*1000*H539*H541*8760/1000</f>
        <v>224256</v>
      </c>
      <c r="I542" s="28" t="n">
        <f aca="false">Inputs!$C$6*1000*I539*I541*8760/1000</f>
        <v>224256</v>
      </c>
      <c r="J542" s="28" t="n">
        <f aca="false">Inputs!$C$6*1000*J539*J541*8760/1000</f>
        <v>224256</v>
      </c>
      <c r="K542" s="28" t="n">
        <f aca="false">Inputs!$C$6*1000*K539*K541*8760/1000</f>
        <v>224256</v>
      </c>
      <c r="L542" s="28" t="n">
        <f aca="false">Inputs!$C$6*1000*L539*L541*8760/1000</f>
        <v>224256</v>
      </c>
      <c r="M542" s="28" t="n">
        <f aca="false">Inputs!$C$6*1000*M539*M541*8760/1000</f>
        <v>224256</v>
      </c>
      <c r="N542" s="28" t="n">
        <f aca="false">Inputs!$C$6*1000*N539*N541*8760/1000</f>
        <v>224256</v>
      </c>
      <c r="O542" s="28" t="n">
        <f aca="false">Inputs!$C$6*1000*O539*O541*8760/1000</f>
        <v>224256</v>
      </c>
    </row>
    <row r="543" customFormat="false" ht="15" hidden="false" customHeight="false" outlineLevel="0" collapsed="false">
      <c r="B543" s="9" t="s">
        <v>149</v>
      </c>
      <c r="E543" s="24" t="n">
        <f aca="false">IF(E$535&lt;=Inputs!$C$9,Inputs!$C$6*1000*Inputs!$C$7*12*(1+Inputs!$C$8)^(E$535-1)/1000000,IF($C$523="renew",$C$534*$C$531*(1+Inputs!$C$8)^(E$535-Inputs!$C$9-1),IF($C$523="retrofit",IF(E$535-Inputs!$C$9=1,0,Inputs!$C$6*1000*Inputs!$C$46*12*(1+Inputs!$C$8)^(E$535-Inputs!$C$9-2)/1000000),IF($C$523="relet",Inputs!$C$6*1000*E541*$C$532*12*(1+Inputs!$C$8)^(E$535-Inputs!$C$9-2)/1000000,0))))</f>
        <v>52.992</v>
      </c>
      <c r="F543" s="24" t="n">
        <f aca="false">IF(F$535&lt;=Inputs!$C$9,Inputs!$C$6*1000*Inputs!$C$7*12*(1+Inputs!$C$8)^(F$535-1)/1000000,IF($C$523="renew",$C$534*$C$531*(1+Inputs!$C$8)^(F$535-Inputs!$C$9-1),IF($C$523="retrofit",IF(F$535-Inputs!$C$9=1,0,Inputs!$C$6*1000*Inputs!$C$46*12*(1+Inputs!$C$8)^(F$535-Inputs!$C$9-2)/1000000),IF($C$523="relet",Inputs!$C$6*1000*F541*$C$532*12*(1+Inputs!$C$8)^(F$535-Inputs!$C$9-2)/1000000,0))))</f>
        <v>54.05184</v>
      </c>
      <c r="G543" s="24" t="n">
        <f aca="false">IF(G$535&lt;=Inputs!$C$9,Inputs!$C$6*1000*Inputs!$C$7*12*(1+Inputs!$C$8)^(G$535-1)/1000000,IF($C$523="renew",$C$534*$C$531*(1+Inputs!$C$8)^(G$535-Inputs!$C$9-1),IF($C$523="retrofit",IF(G$535-Inputs!$C$9=1,0,Inputs!$C$6*1000*Inputs!$C$46*12*(1+Inputs!$C$8)^(G$535-Inputs!$C$9-2)/1000000),IF($C$523="relet",Inputs!$C$6*1000*G541*$C$532*12*(1+Inputs!$C$8)^(G$535-Inputs!$C$9-2)/1000000,0))))</f>
        <v>55.1328768</v>
      </c>
      <c r="H543" s="24" t="n">
        <f aca="false">IF(H$535&lt;=Inputs!$C$9,Inputs!$C$6*1000*Inputs!$C$7*12*(1+Inputs!$C$8)^(H$535-1)/1000000,IF($C$523="renew",$C$534*$C$531*(1+Inputs!$C$8)^(H$535-Inputs!$C$9-1),IF($C$523="retrofit",IF(H$535-Inputs!$C$9=1,0,Inputs!$C$6*1000*Inputs!$C$46*12*(1+Inputs!$C$8)^(H$535-Inputs!$C$9-2)/1000000),IF($C$523="relet",Inputs!$C$6*1000*H541*$C$532*12*(1+Inputs!$C$8)^(H$535-Inputs!$C$9-2)/1000000,0))))</f>
        <v>56.235534336</v>
      </c>
      <c r="I543" s="24" t="n">
        <f aca="false">IF(I$535&lt;=Inputs!$C$9,Inputs!$C$6*1000*Inputs!$C$7*12*(1+Inputs!$C$8)^(I$535-1)/1000000,IF($C$523="renew",$C$534*$C$531*(1+Inputs!$C$8)^(I$535-Inputs!$C$9-1),IF($C$523="retrofit",IF(I$535-Inputs!$C$9=1,0,Inputs!$C$6*1000*Inputs!$C$46*12*(1+Inputs!$C$8)^(I$535-Inputs!$C$9-2)/1000000),IF($C$523="relet",Inputs!$C$6*1000*I541*$C$532*12*(1+Inputs!$C$8)^(I$535-Inputs!$C$9-2)/1000000,0))))</f>
        <v>57.36024502272</v>
      </c>
      <c r="J543" s="24" t="n">
        <f aca="false">IF(J$535&lt;=Inputs!$C$9,Inputs!$C$6*1000*Inputs!$C$7*12*(1+Inputs!$C$8)^(J$535-1)/1000000,IF($C$523="renew",$C$534*$C$531*(1+Inputs!$C$8)^(J$535-Inputs!$C$9-1),IF($C$523="retrofit",IF(J$535-Inputs!$C$9=1,0,Inputs!$C$6*1000*Inputs!$C$46*12*(1+Inputs!$C$8)^(J$535-Inputs!$C$9-2)/1000000),IF($C$523="relet",Inputs!$C$6*1000*J541*$C$532*12*(1+Inputs!$C$8)^(J$535-Inputs!$C$9-2)/1000000,0))))</f>
        <v>58.5074499231744</v>
      </c>
      <c r="K543" s="24" t="n">
        <f aca="false">IF(K$535&lt;=Inputs!$C$9,Inputs!$C$6*1000*Inputs!$C$7*12*(1+Inputs!$C$8)^(K$535-1)/1000000,IF($C$523="renew",$C$534*$C$531*(1+Inputs!$C$8)^(K$535-Inputs!$C$9-1),IF($C$523="retrofit",IF(K$535-Inputs!$C$9=1,0,Inputs!$C$6*1000*Inputs!$C$46*12*(1+Inputs!$C$8)^(K$535-Inputs!$C$9-2)/1000000),IF($C$523="relet",Inputs!$C$6*1000*K541*$C$532*12*(1+Inputs!$C$8)^(K$535-Inputs!$C$9-2)/1000000,0))))</f>
        <v>59.6775989216379</v>
      </c>
      <c r="L543" s="24" t="n">
        <f aca="false">IF(L$535&lt;=Inputs!$C$9,Inputs!$C$6*1000*Inputs!$C$7*12*(1+Inputs!$C$8)^(L$535-1)/1000000,IF($C$523="renew",$C$534*$C$531*(1+Inputs!$C$8)^(L$535-Inputs!$C$9-1),IF($C$523="retrofit",IF(L$535-Inputs!$C$9=1,0,Inputs!$C$6*1000*Inputs!$C$46*12*(1+Inputs!$C$8)^(L$535-Inputs!$C$9-2)/1000000),IF($C$523="relet",Inputs!$C$6*1000*L541*$C$532*12*(1+Inputs!$C$8)^(L$535-Inputs!$C$9-2)/1000000,0))))</f>
        <v>60.8711509000706</v>
      </c>
      <c r="M543" s="24" t="n">
        <f aca="false">IF(M$535&lt;=Inputs!$C$9,Inputs!$C$6*1000*Inputs!$C$7*12*(1+Inputs!$C$8)^(M$535-1)/1000000,IF($C$523="renew",$C$534*$C$531*(1+Inputs!$C$8)^(M$535-Inputs!$C$9-1),IF($C$523="retrofit",IF(M$535-Inputs!$C$9=1,0,Inputs!$C$6*1000*Inputs!$C$46*12*(1+Inputs!$C$8)^(M$535-Inputs!$C$9-2)/1000000),IF($C$523="relet",Inputs!$C$6*1000*M541*$C$532*12*(1+Inputs!$C$8)^(M$535-Inputs!$C$9-2)/1000000,0))))</f>
        <v>54.7840358100636</v>
      </c>
      <c r="N543" s="24" t="n">
        <f aca="false">IF(N$535&lt;=Inputs!$C$9,Inputs!$C$6*1000*Inputs!$C$7*12*(1+Inputs!$C$8)^(N$535-1)/1000000,IF($C$523="renew",$C$534*$C$531*(1+Inputs!$C$8)^(N$535-Inputs!$C$9-1),IF($C$523="retrofit",IF(N$535-Inputs!$C$9=1,0,Inputs!$C$6*1000*Inputs!$C$46*12*(1+Inputs!$C$8)^(N$535-Inputs!$C$9-2)/1000000),IF($C$523="relet",Inputs!$C$6*1000*N541*$C$532*12*(1+Inputs!$C$8)^(N$535-Inputs!$C$9-2)/1000000,0))))</f>
        <v>55.8797165262649</v>
      </c>
      <c r="O543" s="24" t="n">
        <f aca="false">IF(O$535&lt;=Inputs!$C$9,Inputs!$C$6*1000*Inputs!$C$7*12*(1+Inputs!$C$8)^(O$535-1)/1000000,IF($C$523="renew",$C$534*$C$531*(1+Inputs!$C$8)^(O$535-Inputs!$C$9-1),IF($C$523="retrofit",IF(O$535-Inputs!$C$9=1,0,Inputs!$C$6*1000*Inputs!$C$46*12*(1+Inputs!$C$8)^(O$535-Inputs!$C$9-2)/1000000),IF($C$523="relet",Inputs!$C$6*1000*O541*$C$532*12*(1+Inputs!$C$8)^(O$535-Inputs!$C$9-2)/1000000,0))))</f>
        <v>56.9973108567902</v>
      </c>
    </row>
    <row r="544" customFormat="false" ht="15" hidden="false" customHeight="false" outlineLevel="0" collapsed="false">
      <c r="B544" s="9" t="s">
        <v>150</v>
      </c>
      <c r="E544" s="24" t="n">
        <f aca="false">IF(OR(E$535&lt;=Inputs!$C$9,$C$523="renew"),E542*(Inputs!$C$17*E537-E540*E536)/1000000,E542*E540*Inputs!$C$27/1000000)</f>
        <v>2.4219648</v>
      </c>
      <c r="F544" s="24" t="n">
        <f aca="false">IF(OR(F$535&lt;=Inputs!$C$9,$C$523="renew"),F542*(Inputs!$C$17*F537-F540*F536)/1000000,F542*F540*Inputs!$C$27/1000000)</f>
        <v>2.853433344</v>
      </c>
      <c r="G544" s="24" t="n">
        <f aca="false">IF(OR(G$535&lt;=Inputs!$C$9,$C$523="renew"),G542*(Inputs!$C$17*G537-G540*G536)/1000000,G542*G540*Inputs!$C$27/1000000)</f>
        <v>3.29353125888</v>
      </c>
      <c r="H544" s="24" t="n">
        <f aca="false">IF(OR(H$535&lt;=Inputs!$C$9,$C$523="renew"),H542*(Inputs!$C$17*H537-H540*H536)/1000000,H542*H540*Inputs!$C$27/1000000)</f>
        <v>3.74243113205761</v>
      </c>
      <c r="I544" s="24" t="n">
        <f aca="false">IF(OR(I$535&lt;=Inputs!$C$9,$C$523="renew"),I542*(Inputs!$C$17*I537-I540*I536)/1000000,I542*I540*Inputs!$C$27/1000000)</f>
        <v>2.31655860269875</v>
      </c>
      <c r="J544" s="24" t="n">
        <f aca="false">IF(OR(J$535&lt;=Inputs!$C$9,$C$523="renew"),J542*(Inputs!$C$17*J537-J540*J536)/1000000,J542*J540*Inputs!$C$27/1000000)</f>
        <v>2.25771371075273</v>
      </c>
      <c r="K544" s="24" t="n">
        <f aca="false">IF(OR(K$535&lt;=Inputs!$C$9,$C$523="renew"),K542*(Inputs!$C$17*K537-K540*K536)/1000000,K542*K540*Inputs!$C$27/1000000)</f>
        <v>2.19506251936779</v>
      </c>
      <c r="L544" s="24" t="n">
        <f aca="false">IF(OR(L$535&lt;=Inputs!$C$9,$C$523="renew"),L542*(Inputs!$C$17*L537-L540*L536)/1000000,L542*L540*Inputs!$C$27/1000000)</f>
        <v>2.12846316751515</v>
      </c>
      <c r="M544" s="24" t="n">
        <f aca="false">IF(OR(M$535&lt;=Inputs!$C$9,$C$523="renew"),M542*(Inputs!$C$17*M537-M540*M536)/1000000,M542*M540*Inputs!$C$27/1000000)</f>
        <v>2.05776931356946</v>
      </c>
      <c r="N544" s="24" t="n">
        <f aca="false">IF(OR(N$535&lt;=Inputs!$C$9,$C$523="renew"),N542*(Inputs!$C$17*N537-N540*N536)/1000000,N542*N540*Inputs!$C$27/1000000)</f>
        <v>1.98283000461245</v>
      </c>
      <c r="O544" s="24" t="n">
        <f aca="false">IF(OR(O$535&lt;=Inputs!$C$9,$C$523="renew"),O542*(Inputs!$C$17*O537-O540*O536)/1000000,O542*O540*Inputs!$C$27/1000000)</f>
        <v>1.90348954209559</v>
      </c>
    </row>
    <row r="545" customFormat="false" ht="15" hidden="false" customHeight="false" outlineLevel="0" collapsed="false">
      <c r="B545" s="9" t="s">
        <v>151</v>
      </c>
      <c r="E545" s="24" t="n">
        <f aca="false">Inputs!$C$10*E538*IF(OR(E$535&lt;=Inputs!$C$9,$C$523="renew"),1,IF($C$523="retrofit",IF(E$535-Inputs!$C$9=1,Inputs!$C$48,1),IF($C$523="relet",Inputs!$C$54,Inputs!$C$56)))</f>
        <v>4.1</v>
      </c>
      <c r="F545" s="24" t="n">
        <f aca="false">Inputs!$C$10*F538*IF(OR(F$535&lt;=Inputs!$C$9,$C$523="renew"),1,IF($C$523="retrofit",IF(F$535-Inputs!$C$9=1,Inputs!$C$48,1),IF($C$523="relet",Inputs!$C$54,Inputs!$C$56)))</f>
        <v>4.223</v>
      </c>
      <c r="G545" s="24" t="n">
        <f aca="false">Inputs!$C$10*G538*IF(OR(G$535&lt;=Inputs!$C$9,$C$523="renew"),1,IF($C$523="retrofit",IF(G$535-Inputs!$C$9=1,Inputs!$C$48,1),IF($C$523="relet",Inputs!$C$54,Inputs!$C$56)))</f>
        <v>4.34969</v>
      </c>
      <c r="H545" s="24" t="n">
        <f aca="false">Inputs!$C$10*H538*IF(OR(H$535&lt;=Inputs!$C$9,$C$523="renew"),1,IF($C$523="retrofit",IF(H$535-Inputs!$C$9=1,Inputs!$C$48,1),IF($C$523="relet",Inputs!$C$54,Inputs!$C$56)))</f>
        <v>4.4801807</v>
      </c>
      <c r="I545" s="24" t="n">
        <f aca="false">Inputs!$C$10*I538*IF(OR(I$535&lt;=Inputs!$C$9,$C$523="renew"),1,IF($C$523="retrofit",IF(I$535-Inputs!$C$9=1,Inputs!$C$48,1),IF($C$523="relet",Inputs!$C$54,Inputs!$C$56)))</f>
        <v>4.614586121</v>
      </c>
      <c r="J545" s="24" t="n">
        <f aca="false">Inputs!$C$10*J538*IF(OR(J$535&lt;=Inputs!$C$9,$C$523="renew"),1,IF($C$523="retrofit",IF(J$535-Inputs!$C$9=1,Inputs!$C$48,1),IF($C$523="relet",Inputs!$C$54,Inputs!$C$56)))</f>
        <v>4.75302370463</v>
      </c>
      <c r="K545" s="24" t="n">
        <f aca="false">Inputs!$C$10*K538*IF(OR(K$535&lt;=Inputs!$C$9,$C$523="renew"),1,IF($C$523="retrofit",IF(K$535-Inputs!$C$9=1,Inputs!$C$48,1),IF($C$523="relet",Inputs!$C$54,Inputs!$C$56)))</f>
        <v>4.8956144157689</v>
      </c>
      <c r="L545" s="24" t="n">
        <f aca="false">Inputs!$C$10*L538*IF(OR(L$535&lt;=Inputs!$C$9,$C$523="renew"),1,IF($C$523="retrofit",IF(L$535-Inputs!$C$9=1,Inputs!$C$48,1),IF($C$523="relet",Inputs!$C$54,Inputs!$C$56)))</f>
        <v>5.04248284824197</v>
      </c>
      <c r="M545" s="24" t="n">
        <f aca="false">Inputs!$C$10*M538*IF(OR(M$535&lt;=Inputs!$C$9,$C$523="renew"),1,IF($C$523="retrofit",IF(M$535-Inputs!$C$9=1,Inputs!$C$48,1),IF($C$523="relet",Inputs!$C$54,Inputs!$C$56)))</f>
        <v>5.19375733368923</v>
      </c>
      <c r="N545" s="24" t="n">
        <f aca="false">Inputs!$C$10*N538*IF(OR(N$535&lt;=Inputs!$C$9,$C$523="renew"),1,IF($C$523="retrofit",IF(N$535-Inputs!$C$9=1,Inputs!$C$48,1),IF($C$523="relet",Inputs!$C$54,Inputs!$C$56)))</f>
        <v>5.3495700536999</v>
      </c>
      <c r="O545" s="24" t="n">
        <f aca="false">Inputs!$C$10*O538*IF(OR(O$535&lt;=Inputs!$C$9,$C$523="renew"),1,IF($C$523="retrofit",IF(O$535-Inputs!$C$9=1,Inputs!$C$48,1),IF($C$523="relet",Inputs!$C$54,Inputs!$C$56)))</f>
        <v>5.5100571553109</v>
      </c>
    </row>
    <row r="546" customFormat="false" ht="15" hidden="false" customHeight="false" outlineLevel="0" collapsed="false">
      <c r="B546" s="9" t="s">
        <v>152</v>
      </c>
      <c r="E546" s="24" t="n">
        <f aca="false">IF(E$535&gt;=$C$525,Inputs!$C$30*1000*Inputs!$C$34*12*(1+Inputs!$C$8)^(E$535-$C$525)/1000000*IF(AND(E$535=$C$525,$C$525&gt;Inputs!$C$33),1-MIN(12,Inputs!$C$35*($C$525-Inputs!$C$33)*12)/12,1),0)</f>
        <v>0</v>
      </c>
      <c r="F546" s="24" t="n">
        <f aca="false">IF(F$535&gt;=$C$525,Inputs!$C$30*1000*Inputs!$C$34*12*(1+Inputs!$C$8)^(F$535-$C$525)/1000000*IF(AND(F$535=$C$525,$C$525&gt;Inputs!$C$33),1-MIN(12,Inputs!$C$35*($C$525-Inputs!$C$33)*12)/12,1),0)</f>
        <v>0</v>
      </c>
      <c r="G546" s="24" t="n">
        <f aca="false">IF(G$535&gt;=$C$525,Inputs!$C$30*1000*Inputs!$C$34*12*(1+Inputs!$C$8)^(G$535-$C$525)/1000000*IF(AND(G$535=$C$525,$C$525&gt;Inputs!$C$33),1-MIN(12,Inputs!$C$35*($C$525-Inputs!$C$33)*12)/12,1),0)</f>
        <v>29.184</v>
      </c>
      <c r="H546" s="24" t="n">
        <f aca="false">IF(H$535&gt;=$C$525,Inputs!$C$30*1000*Inputs!$C$34*12*(1+Inputs!$C$8)^(H$535-$C$525)/1000000*IF(AND(H$535=$C$525,$C$525&gt;Inputs!$C$33),1-MIN(12,Inputs!$C$35*($C$525-Inputs!$C$33)*12)/12,1),0)</f>
        <v>29.76768</v>
      </c>
      <c r="I546" s="24" t="n">
        <f aca="false">IF(I$535&gt;=$C$525,Inputs!$C$30*1000*Inputs!$C$34*12*(1+Inputs!$C$8)^(I$535-$C$525)/1000000*IF(AND(I$535=$C$525,$C$525&gt;Inputs!$C$33),1-MIN(12,Inputs!$C$35*($C$525-Inputs!$C$33)*12)/12,1),0)</f>
        <v>30.3630336</v>
      </c>
      <c r="J546" s="24" t="n">
        <f aca="false">IF(J$535&gt;=$C$525,Inputs!$C$30*1000*Inputs!$C$34*12*(1+Inputs!$C$8)^(J$535-$C$525)/1000000*IF(AND(J$535=$C$525,$C$525&gt;Inputs!$C$33),1-MIN(12,Inputs!$C$35*($C$525-Inputs!$C$33)*12)/12,1),0)</f>
        <v>30.970294272</v>
      </c>
      <c r="K546" s="24" t="n">
        <f aca="false">IF(K$535&gt;=$C$525,Inputs!$C$30*1000*Inputs!$C$34*12*(1+Inputs!$C$8)^(K$535-$C$525)/1000000*IF(AND(K$535=$C$525,$C$525&gt;Inputs!$C$33),1-MIN(12,Inputs!$C$35*($C$525-Inputs!$C$33)*12)/12,1),0)</f>
        <v>31.58970015744</v>
      </c>
      <c r="L546" s="24" t="n">
        <f aca="false">IF(L$535&gt;=$C$525,Inputs!$C$30*1000*Inputs!$C$34*12*(1+Inputs!$C$8)^(L$535-$C$525)/1000000*IF(AND(L$535=$C$525,$C$525&gt;Inputs!$C$33),1-MIN(12,Inputs!$C$35*($C$525-Inputs!$C$33)*12)/12,1),0)</f>
        <v>32.2214941605888</v>
      </c>
      <c r="M546" s="24" t="n">
        <f aca="false">IF(M$535&gt;=$C$525,Inputs!$C$30*1000*Inputs!$C$34*12*(1+Inputs!$C$8)^(M$535-$C$525)/1000000*IF(AND(M$535=$C$525,$C$525&gt;Inputs!$C$33),1-MIN(12,Inputs!$C$35*($C$525-Inputs!$C$33)*12)/12,1),0)</f>
        <v>32.8659240438006</v>
      </c>
      <c r="N546" s="24" t="n">
        <f aca="false">IF(N$535&gt;=$C$525,Inputs!$C$30*1000*Inputs!$C$34*12*(1+Inputs!$C$8)^(N$535-$C$525)/1000000*IF(AND(N$535=$C$525,$C$525&gt;Inputs!$C$33),1-MIN(12,Inputs!$C$35*($C$525-Inputs!$C$33)*12)/12,1),0)</f>
        <v>33.5232425246766</v>
      </c>
      <c r="O546" s="24" t="n">
        <f aca="false">IF(O$535&gt;=$C$525,Inputs!$C$30*1000*Inputs!$C$34*12*(1+Inputs!$C$8)^(O$535-$C$525)/1000000*IF(AND(O$535=$C$525,$C$525&gt;Inputs!$C$33),1-MIN(12,Inputs!$C$35*($C$525-Inputs!$C$33)*12)/12,1),0)</f>
        <v>34.1937073751701</v>
      </c>
    </row>
    <row r="547" customFormat="false" ht="15" hidden="false" customHeight="false" outlineLevel="0" collapsed="false">
      <c r="B547" s="9" t="s">
        <v>153</v>
      </c>
      <c r="E547" s="28" t="n">
        <f aca="false">IF(E$535&gt;=$C$525,Inputs!$C$30*1000*Inputs!$C$16*8760/1000,0)</f>
        <v>0</v>
      </c>
      <c r="F547" s="28" t="n">
        <f aca="false">IF(F$535&gt;=$C$525,Inputs!$C$30*1000*Inputs!$C$16*8760/1000,0)</f>
        <v>0</v>
      </c>
      <c r="G547" s="28" t="n">
        <f aca="false">IF(G$535&gt;=$C$525,Inputs!$C$30*1000*Inputs!$C$16*8760/1000,0)</f>
        <v>112128</v>
      </c>
      <c r="H547" s="28" t="n">
        <f aca="false">IF(H$535&gt;=$C$525,Inputs!$C$30*1000*Inputs!$C$16*8760/1000,0)</f>
        <v>112128</v>
      </c>
      <c r="I547" s="28" t="n">
        <f aca="false">IF(I$535&gt;=$C$525,Inputs!$C$30*1000*Inputs!$C$16*8760/1000,0)</f>
        <v>112128</v>
      </c>
      <c r="J547" s="28" t="n">
        <f aca="false">IF(J$535&gt;=$C$525,Inputs!$C$30*1000*Inputs!$C$16*8760/1000,0)</f>
        <v>112128</v>
      </c>
      <c r="K547" s="28" t="n">
        <f aca="false">IF(K$535&gt;=$C$525,Inputs!$C$30*1000*Inputs!$C$16*8760/1000,0)</f>
        <v>112128</v>
      </c>
      <c r="L547" s="28" t="n">
        <f aca="false">IF(L$535&gt;=$C$525,Inputs!$C$30*1000*Inputs!$C$16*8760/1000,0)</f>
        <v>112128</v>
      </c>
      <c r="M547" s="28" t="n">
        <f aca="false">IF(M$535&gt;=$C$525,Inputs!$C$30*1000*Inputs!$C$16*8760/1000,0)</f>
        <v>112128</v>
      </c>
      <c r="N547" s="28" t="n">
        <f aca="false">IF(N$535&gt;=$C$525,Inputs!$C$30*1000*Inputs!$C$16*8760/1000,0)</f>
        <v>112128</v>
      </c>
      <c r="O547" s="28" t="n">
        <f aca="false">IF(O$535&gt;=$C$525,Inputs!$C$30*1000*Inputs!$C$16*8760/1000,0)</f>
        <v>112128</v>
      </c>
    </row>
    <row r="548" customFormat="false" ht="15" hidden="false" customHeight="false" outlineLevel="0" collapsed="false">
      <c r="B548" s="9" t="s">
        <v>154</v>
      </c>
      <c r="E548" s="24" t="n">
        <f aca="false">E547*Inputs!$C$37*Inputs!$C$27/1000000</f>
        <v>0</v>
      </c>
      <c r="F548" s="24" t="n">
        <f aca="false">F547*Inputs!$C$37*Inputs!$C$27/1000000</f>
        <v>0</v>
      </c>
      <c r="G548" s="24" t="n">
        <f aca="false">G547*Inputs!$C$37*Inputs!$C$27/1000000</f>
        <v>0.4036608</v>
      </c>
      <c r="H548" s="24" t="n">
        <f aca="false">H547*Inputs!$C$37*Inputs!$C$27/1000000</f>
        <v>0.4036608</v>
      </c>
      <c r="I548" s="24" t="n">
        <f aca="false">I547*Inputs!$C$37*Inputs!$C$27/1000000</f>
        <v>0.4036608</v>
      </c>
      <c r="J548" s="24" t="n">
        <f aca="false">J547*Inputs!$C$37*Inputs!$C$27/1000000</f>
        <v>0.4036608</v>
      </c>
      <c r="K548" s="24" t="n">
        <f aca="false">K547*Inputs!$C$37*Inputs!$C$27/1000000</f>
        <v>0.4036608</v>
      </c>
      <c r="L548" s="24" t="n">
        <f aca="false">L547*Inputs!$C$37*Inputs!$C$27/1000000</f>
        <v>0.4036608</v>
      </c>
      <c r="M548" s="24" t="n">
        <f aca="false">M547*Inputs!$C$37*Inputs!$C$27/1000000</f>
        <v>0.4036608</v>
      </c>
      <c r="N548" s="24" t="n">
        <f aca="false">N547*Inputs!$C$37*Inputs!$C$27/1000000</f>
        <v>0.4036608</v>
      </c>
      <c r="O548" s="24" t="n">
        <f aca="false">O547*Inputs!$C$37*Inputs!$C$27/1000000</f>
        <v>0.4036608</v>
      </c>
    </row>
    <row r="549" customFormat="false" ht="15" hidden="false" customHeight="false" outlineLevel="0" collapsed="false">
      <c r="B549" s="9" t="s">
        <v>155</v>
      </c>
      <c r="E549" s="24" t="n">
        <f aca="false">IF(E$535&gt;=$C$525,Inputs!$C$38*E538,0)</f>
        <v>0</v>
      </c>
      <c r="F549" s="24" t="n">
        <f aca="false">IF(F$535&gt;=$C$525,Inputs!$C$38*F538,0)</f>
        <v>0</v>
      </c>
      <c r="G549" s="24" t="n">
        <f aca="false">IF(G$535&gt;=$C$525,Inputs!$C$38*G538,0)</f>
        <v>1.69744</v>
      </c>
      <c r="H549" s="24" t="n">
        <f aca="false">IF(H$535&gt;=$C$525,Inputs!$C$38*H538,0)</f>
        <v>1.7483632</v>
      </c>
      <c r="I549" s="24" t="n">
        <f aca="false">IF(I$535&gt;=$C$525,Inputs!$C$38*I538,0)</f>
        <v>1.800814096</v>
      </c>
      <c r="J549" s="24" t="n">
        <f aca="false">IF(J$535&gt;=$C$525,Inputs!$C$38*J538,0)</f>
        <v>1.85483851888</v>
      </c>
      <c r="K549" s="24" t="n">
        <f aca="false">IF(K$535&gt;=$C$525,Inputs!$C$38*K538,0)</f>
        <v>1.9104836744464</v>
      </c>
      <c r="L549" s="24" t="n">
        <f aca="false">IF(L$535&gt;=$C$525,Inputs!$C$38*L538,0)</f>
        <v>1.96779818467979</v>
      </c>
      <c r="M549" s="24" t="n">
        <f aca="false">IF(M$535&gt;=$C$525,Inputs!$C$38*M538,0)</f>
        <v>2.02683213022019</v>
      </c>
      <c r="N549" s="24" t="n">
        <f aca="false">IF(N$535&gt;=$C$525,Inputs!$C$38*N538,0)</f>
        <v>2.08763709412679</v>
      </c>
      <c r="O549" s="24" t="n">
        <f aca="false">IF(O$535&gt;=$C$525,Inputs!$C$38*O538,0)</f>
        <v>2.1502662069506</v>
      </c>
    </row>
    <row r="550" customFormat="false" ht="15" hidden="false" customHeight="false" outlineLevel="0" collapsed="false">
      <c r="B550" s="9" t="s">
        <v>156</v>
      </c>
      <c r="E550" s="24" t="n">
        <f aca="false">Inputs!$C$12*(E543+E546)</f>
        <v>0.52992</v>
      </c>
      <c r="F550" s="24" t="n">
        <f aca="false">Inputs!$C$12*(F543+F546)</f>
        <v>0.5405184</v>
      </c>
      <c r="G550" s="24" t="n">
        <f aca="false">Inputs!$C$12*(G543+G546)</f>
        <v>0.843168768</v>
      </c>
      <c r="H550" s="24" t="n">
        <f aca="false">Inputs!$C$12*(H543+H546)</f>
        <v>0.86003214336</v>
      </c>
      <c r="I550" s="24" t="n">
        <f aca="false">Inputs!$C$12*(I543+I546)</f>
        <v>0.8772327862272</v>
      </c>
      <c r="J550" s="24" t="n">
        <f aca="false">Inputs!$C$12*(J543+J546)</f>
        <v>0.894777441951744</v>
      </c>
      <c r="K550" s="24" t="n">
        <f aca="false">Inputs!$C$12*(K543+K546)</f>
        <v>0.912672990790779</v>
      </c>
      <c r="L550" s="24" t="n">
        <f aca="false">Inputs!$C$12*(L543+L546)</f>
        <v>0.930926450606595</v>
      </c>
      <c r="M550" s="24" t="n">
        <f aca="false">Inputs!$C$12*(M543+M546)</f>
        <v>0.876499598538642</v>
      </c>
      <c r="N550" s="24" t="n">
        <f aca="false">Inputs!$C$12*(N543+N546)</f>
        <v>0.894029590509414</v>
      </c>
      <c r="O550" s="24" t="n">
        <f aca="false">Inputs!$C$12*(O543+O546)</f>
        <v>0.911910182319603</v>
      </c>
    </row>
    <row r="551" customFormat="false" ht="15" hidden="false" customHeight="false" outlineLevel="0" collapsed="false">
      <c r="B551" s="29" t="s">
        <v>157</v>
      </c>
      <c r="E551" s="30" t="n">
        <f aca="false">E543+E544+E546+E548-E545-E549-E550</f>
        <v>50.7840448</v>
      </c>
      <c r="F551" s="30" t="n">
        <f aca="false">F543+F544+F546+F548-F545-F549-F550</f>
        <v>52.141754944</v>
      </c>
      <c r="G551" s="30" t="n">
        <f aca="false">G543+G544+G546+G548-G545-G549-G550</f>
        <v>81.12377009088</v>
      </c>
      <c r="H551" s="30" t="n">
        <f aca="false">H543+H544+H546+H548-H545-H549-H550</f>
        <v>83.0607302246976</v>
      </c>
      <c r="I551" s="30" t="n">
        <f aca="false">I543+I544+I546+I548-I545-I549-I550</f>
        <v>83.1508650221916</v>
      </c>
      <c r="J551" s="30" t="n">
        <f aca="false">J543+J544+J546+J548-J545-J549-J550</f>
        <v>84.6364790404654</v>
      </c>
      <c r="K551" s="30" t="n">
        <f aca="false">K543+K544+K546+K548-K545-K549-K550</f>
        <v>86.1472513174396</v>
      </c>
      <c r="L551" s="30" t="n">
        <f aca="false">L543+L544+L546+L548-L545-L549-L550</f>
        <v>87.6835615446462</v>
      </c>
      <c r="M551" s="30" t="n">
        <f aca="false">M543+M544+M546+M548-M545-M549-M550</f>
        <v>82.0143009049856</v>
      </c>
      <c r="N551" s="30" t="n">
        <f aca="false">N543+N544+N546+N548-N545-N549-N550</f>
        <v>83.4582131172178</v>
      </c>
      <c r="O551" s="30" t="n">
        <f aca="false">O543+O544+O546+O548-O545-O549-O550</f>
        <v>84.9259350294748</v>
      </c>
    </row>
    <row r="552" customFormat="false" ht="15" hidden="false" customHeight="false" outlineLevel="0" collapsed="false">
      <c r="B552" s="9" t="s">
        <v>158</v>
      </c>
      <c r="E552" s="24" t="n">
        <f aca="false">Inputs!$C$13*E538*IF(AND($C$523="stranded",E$535&gt;Inputs!$C$9),Inputs!$C$56,1)+IF(E$535&gt;=$C$525,Inputs!$C$39*E538,0)</f>
        <v>1.3</v>
      </c>
      <c r="F552" s="24" t="n">
        <f aca="false">Inputs!$C$13*F538*IF(AND($C$523="stranded",F$535&gt;Inputs!$C$9),Inputs!$C$56,1)+IF(F$535&gt;=$C$525,Inputs!$C$39*F538,0)</f>
        <v>1.339</v>
      </c>
      <c r="G552" s="24" t="n">
        <f aca="false">Inputs!$C$13*G538*IF(AND($C$523="stranded",G$535&gt;Inputs!$C$9),Inputs!$C$56,1)+IF(G$535&gt;=$C$525,Inputs!$C$39*G538,0)</f>
        <v>1.90962</v>
      </c>
      <c r="H552" s="24" t="n">
        <f aca="false">Inputs!$C$13*H538*IF(AND($C$523="stranded",H$535&gt;Inputs!$C$9),Inputs!$C$56,1)+IF(H$535&gt;=$C$525,Inputs!$C$39*H538,0)</f>
        <v>1.9669086</v>
      </c>
      <c r="I552" s="24" t="n">
        <f aca="false">Inputs!$C$13*I538*IF(AND($C$523="stranded",I$535&gt;Inputs!$C$9),Inputs!$C$56,1)+IF(I$535&gt;=$C$525,Inputs!$C$39*I538,0)</f>
        <v>2.025915858</v>
      </c>
      <c r="J552" s="24" t="n">
        <f aca="false">Inputs!$C$13*J538*IF(AND($C$523="stranded",J$535&gt;Inputs!$C$9),Inputs!$C$56,1)+IF(J$535&gt;=$C$525,Inputs!$C$39*J538,0)</f>
        <v>2.08669333374</v>
      </c>
      <c r="K552" s="24" t="n">
        <f aca="false">Inputs!$C$13*K538*IF(AND($C$523="stranded",K$535&gt;Inputs!$C$9),Inputs!$C$56,1)+IF(K$535&gt;=$C$525,Inputs!$C$39*K538,0)</f>
        <v>2.1492941337522</v>
      </c>
      <c r="L552" s="24" t="n">
        <f aca="false">Inputs!$C$13*L538*IF(AND($C$523="stranded",L$535&gt;Inputs!$C$9),Inputs!$C$56,1)+IF(L$535&gt;=$C$525,Inputs!$C$39*L538,0)</f>
        <v>2.21377295776477</v>
      </c>
      <c r="M552" s="24" t="n">
        <f aca="false">Inputs!$C$13*M538*IF(AND($C$523="stranded",M$535&gt;Inputs!$C$9),Inputs!$C$56,1)+IF(M$535&gt;=$C$525,Inputs!$C$39*M538,0)</f>
        <v>2.28018614649771</v>
      </c>
      <c r="N552" s="24" t="n">
        <f aca="false">Inputs!$C$13*N538*IF(AND($C$523="stranded",N$535&gt;Inputs!$C$9),Inputs!$C$56,1)+IF(N$535&gt;=$C$525,Inputs!$C$39*N538,0)</f>
        <v>2.34859173089264</v>
      </c>
      <c r="O552" s="24" t="n">
        <f aca="false">Inputs!$C$13*O538*IF(AND($C$523="stranded",O$535&gt;Inputs!$C$9),Inputs!$C$56,1)+IF(O$535&gt;=$C$525,Inputs!$C$39*O538,0)</f>
        <v>2.41904948281942</v>
      </c>
    </row>
    <row r="553" customFormat="false" ht="15" hidden="false" customHeight="false" outlineLevel="0" collapsed="false">
      <c r="B553" s="9" t="s">
        <v>159</v>
      </c>
      <c r="E553" s="24" t="n">
        <f aca="false">IF(OR(E$535=1,E$535=2),Inputs!$C$31*Inputs!$C$30/2,0)+IF(AND(E$535=2,$C$525&gt;Inputs!$C$33),Inputs!$C$31*Inputs!$C$30*Inputs!$C$36*($C$525-Inputs!$C$33),0)</f>
        <v>84</v>
      </c>
      <c r="F553" s="24" t="n">
        <f aca="false">IF(OR(F$535=1,F$535=2),Inputs!$C$31*Inputs!$C$30/2,0)+IF(AND(F$535=2,$C$525&gt;Inputs!$C$33),Inputs!$C$31*Inputs!$C$30*Inputs!$C$36*($C$525-Inputs!$C$33),0)</f>
        <v>84</v>
      </c>
      <c r="G553" s="24" t="n">
        <f aca="false">IF(OR(G$535=1,G$535=2),Inputs!$C$31*Inputs!$C$30/2,0)+IF(AND(G$535=2,$C$525&gt;Inputs!$C$33),Inputs!$C$31*Inputs!$C$30*Inputs!$C$36*($C$525-Inputs!$C$33),0)</f>
        <v>0</v>
      </c>
      <c r="H553" s="24" t="n">
        <f aca="false">IF(OR(H$535=1,H$535=2),Inputs!$C$31*Inputs!$C$30/2,0)+IF(AND(H$535=2,$C$525&gt;Inputs!$C$33),Inputs!$C$31*Inputs!$C$30*Inputs!$C$36*($C$525-Inputs!$C$33),0)</f>
        <v>0</v>
      </c>
      <c r="I553" s="24" t="n">
        <f aca="false">IF(OR(I$535=1,I$535=2),Inputs!$C$31*Inputs!$C$30/2,0)+IF(AND(I$535=2,$C$525&gt;Inputs!$C$33),Inputs!$C$31*Inputs!$C$30*Inputs!$C$36*($C$525-Inputs!$C$33),0)</f>
        <v>0</v>
      </c>
      <c r="J553" s="24" t="n">
        <f aca="false">IF(OR(J$535=1,J$535=2),Inputs!$C$31*Inputs!$C$30/2,0)+IF(AND(J$535=2,$C$525&gt;Inputs!$C$33),Inputs!$C$31*Inputs!$C$30*Inputs!$C$36*($C$525-Inputs!$C$33),0)</f>
        <v>0</v>
      </c>
      <c r="K553" s="24" t="n">
        <f aca="false">IF(OR(K$535=1,K$535=2),Inputs!$C$31*Inputs!$C$30/2,0)+IF(AND(K$535=2,$C$525&gt;Inputs!$C$33),Inputs!$C$31*Inputs!$C$30*Inputs!$C$36*($C$525-Inputs!$C$33),0)</f>
        <v>0</v>
      </c>
      <c r="L553" s="24" t="n">
        <f aca="false">IF(OR(L$535=1,L$535=2),Inputs!$C$31*Inputs!$C$30/2,0)+IF(AND(L$535=2,$C$525&gt;Inputs!$C$33),Inputs!$C$31*Inputs!$C$30*Inputs!$C$36*($C$525-Inputs!$C$33),0)</f>
        <v>0</v>
      </c>
      <c r="M553" s="24" t="n">
        <f aca="false">IF(OR(M$535=1,M$535=2),Inputs!$C$31*Inputs!$C$30/2,0)+IF(AND(M$535=2,$C$525&gt;Inputs!$C$33),Inputs!$C$31*Inputs!$C$30*Inputs!$C$36*($C$525-Inputs!$C$33),0)</f>
        <v>0</v>
      </c>
      <c r="N553" s="24" t="n">
        <f aca="false">IF(OR(N$535=1,N$535=2),Inputs!$C$31*Inputs!$C$30/2,0)+IF(AND(N$535=2,$C$525&gt;Inputs!$C$33),Inputs!$C$31*Inputs!$C$30*Inputs!$C$36*($C$525-Inputs!$C$33),0)</f>
        <v>0</v>
      </c>
      <c r="O553" s="24" t="n">
        <f aca="false">IF(OR(O$535=1,O$535=2),Inputs!$C$31*Inputs!$C$30/2,0)+IF(AND(O$535=2,$C$525&gt;Inputs!$C$33),Inputs!$C$31*Inputs!$C$30*Inputs!$C$36*($C$525-Inputs!$C$33),0)</f>
        <v>0</v>
      </c>
    </row>
    <row r="554" customFormat="false" ht="15" hidden="false" customHeight="false" outlineLevel="0" collapsed="false">
      <c r="B554" s="9" t="s">
        <v>160</v>
      </c>
      <c r="E554" s="24" t="n">
        <f aca="false">IF(E$535=Inputs!$C$9+1,Inputs!$C$6*IF($C$523="renew",Inputs!$C$44,IF($C$523="retrofit",Inputs!$C$45,IF($C$523="relet",Inputs!$C$55,0))),0)</f>
        <v>0</v>
      </c>
      <c r="F554" s="24" t="n">
        <f aca="false">IF(F$535=Inputs!$C$9+1,Inputs!$C$6*IF($C$523="renew",Inputs!$C$44,IF($C$523="retrofit",Inputs!$C$45,IF($C$523="relet",Inputs!$C$55,0))),0)</f>
        <v>0</v>
      </c>
      <c r="G554" s="24" t="n">
        <f aca="false">IF(G$535=Inputs!$C$9+1,Inputs!$C$6*IF($C$523="renew",Inputs!$C$44,IF($C$523="retrofit",Inputs!$C$45,IF($C$523="relet",Inputs!$C$55,0))),0)</f>
        <v>0</v>
      </c>
      <c r="H554" s="24" t="n">
        <f aca="false">IF(H$535=Inputs!$C$9+1,Inputs!$C$6*IF($C$523="renew",Inputs!$C$44,IF($C$523="retrofit",Inputs!$C$45,IF($C$523="relet",Inputs!$C$55,0))),0)</f>
        <v>0</v>
      </c>
      <c r="I554" s="24" t="n">
        <f aca="false">IF(I$535=Inputs!$C$9+1,Inputs!$C$6*IF($C$523="renew",Inputs!$C$44,IF($C$523="retrofit",Inputs!$C$45,IF($C$523="relet",Inputs!$C$55,0))),0)</f>
        <v>0</v>
      </c>
      <c r="J554" s="24" t="n">
        <f aca="false">IF(J$535=Inputs!$C$9+1,Inputs!$C$6*IF($C$523="renew",Inputs!$C$44,IF($C$523="retrofit",Inputs!$C$45,IF($C$523="relet",Inputs!$C$55,0))),0)</f>
        <v>0</v>
      </c>
      <c r="K554" s="24" t="n">
        <f aca="false">IF(K$535=Inputs!$C$9+1,Inputs!$C$6*IF($C$523="renew",Inputs!$C$44,IF($C$523="retrofit",Inputs!$C$45,IF($C$523="relet",Inputs!$C$55,0))),0)</f>
        <v>0</v>
      </c>
      <c r="L554" s="24" t="n">
        <f aca="false">IF(L$535=Inputs!$C$9+1,Inputs!$C$6*IF($C$523="renew",Inputs!$C$44,IF($C$523="retrofit",Inputs!$C$45,IF($C$523="relet",Inputs!$C$55,0))),0)</f>
        <v>0</v>
      </c>
      <c r="M554" s="24" t="n">
        <f aca="false">IF(M$535=Inputs!$C$9+1,Inputs!$C$6*IF($C$523="renew",Inputs!$C$44,IF($C$523="retrofit",Inputs!$C$45,IF($C$523="relet",Inputs!$C$55,0))),0)</f>
        <v>12.8</v>
      </c>
      <c r="N554" s="24" t="n">
        <f aca="false">IF(N$535=Inputs!$C$9+1,Inputs!$C$6*IF($C$523="renew",Inputs!$C$44,IF($C$523="retrofit",Inputs!$C$45,IF($C$523="relet",Inputs!$C$55,0))),0)</f>
        <v>0</v>
      </c>
      <c r="O554" s="24" t="n">
        <f aca="false">IF(O$535=Inputs!$C$9+1,Inputs!$C$6*IF($C$523="renew",Inputs!$C$44,IF($C$523="retrofit",Inputs!$C$45,IF($C$523="relet",Inputs!$C$55,0))),0)</f>
        <v>0</v>
      </c>
    </row>
    <row r="555" customFormat="false" ht="15" hidden="false" customHeight="false" outlineLevel="0" collapsed="false">
      <c r="B555" s="29" t="s">
        <v>161</v>
      </c>
      <c r="E555" s="30" t="n">
        <f aca="false">E551-E552-E553-E554</f>
        <v>-34.5159552</v>
      </c>
      <c r="F555" s="30" t="n">
        <f aca="false">F551-F552-F553-F554</f>
        <v>-33.197245056</v>
      </c>
      <c r="G555" s="30" t="n">
        <f aca="false">G551-G552-G553-G554</f>
        <v>79.21415009088</v>
      </c>
      <c r="H555" s="30" t="n">
        <f aca="false">H551-H552-H553-H554</f>
        <v>81.0938216246976</v>
      </c>
      <c r="I555" s="30" t="n">
        <f aca="false">I551-I552-I553-I554</f>
        <v>81.1249491641916</v>
      </c>
      <c r="J555" s="30" t="n">
        <f aca="false">J551-J552-J553-J554</f>
        <v>82.5497857067254</v>
      </c>
      <c r="K555" s="30" t="n">
        <f aca="false">K551-K552-K553-K554</f>
        <v>83.9979571836874</v>
      </c>
      <c r="L555" s="30" t="n">
        <f aca="false">L551-L552-L553-L554</f>
        <v>85.4697885868815</v>
      </c>
      <c r="M555" s="30" t="n">
        <f aca="false">M551-M552-M553-M554</f>
        <v>66.9341147584878</v>
      </c>
      <c r="N555" s="30" t="n">
        <f aca="false">N551-N552-N553-N554</f>
        <v>81.1096213863251</v>
      </c>
      <c r="O555" s="30" t="n">
        <f aca="false">O551-O552-O553-O554</f>
        <v>82.5068855466554</v>
      </c>
    </row>
    <row r="556" customFormat="false" ht="15" hidden="false" customHeight="false" outlineLevel="0" collapsed="false">
      <c r="B556" s="6" t="s">
        <v>162</v>
      </c>
    </row>
    <row r="558" customFormat="false" ht="15" hidden="false" customHeight="false" outlineLevel="0" collapsed="false">
      <c r="B558" s="9" t="s">
        <v>163</v>
      </c>
      <c r="C558" s="23" t="n">
        <f aca="false">IF($C$523="renew",Inputs!$C$67,IF($C$523="retrofit",Inputs!$C$68,IF($C$523="relet",Inputs!$C$69,Inputs!$C$70)))+$C$529</f>
        <v>0.0625</v>
      </c>
    </row>
    <row r="559" customFormat="false" ht="15" hidden="false" customHeight="false" outlineLevel="0" collapsed="false">
      <c r="B559" s="9" t="s">
        <v>164</v>
      </c>
      <c r="C559" s="24" t="n">
        <f aca="false">O546+O548-O549-Inputs!$C$12*O546</f>
        <v>32.1051648944678</v>
      </c>
    </row>
    <row r="560" customFormat="false" ht="15" hidden="false" customHeight="false" outlineLevel="0" collapsed="false">
      <c r="B560" s="9" t="s">
        <v>165</v>
      </c>
      <c r="C560" s="24" t="n">
        <f aca="false">O551-$C$559</f>
        <v>52.8207701350069</v>
      </c>
    </row>
    <row r="561" customFormat="false" ht="15" hidden="false" customHeight="false" outlineLevel="0" collapsed="false">
      <c r="B561" s="9" t="s">
        <v>166</v>
      </c>
      <c r="C561" s="24" t="n">
        <f aca="false">IF($C$523="stranded",Inputs!$C$57*Inputs!$C$6-Inputs!$C$58,0)</f>
        <v>0</v>
      </c>
    </row>
    <row r="562" customFormat="false" ht="15" hidden="false" customHeight="false" outlineLevel="0" collapsed="false">
      <c r="B562" s="9" t="s">
        <v>167</v>
      </c>
      <c r="C562" s="24" t="n">
        <f aca="false">($C$559+$C$560)/$C$558+$C$561</f>
        <v>1358.8149604716</v>
      </c>
    </row>
    <row r="563" customFormat="false" ht="15" hidden="false" customHeight="false" outlineLevel="0" collapsed="false">
      <c r="B563" s="29" t="s">
        <v>168</v>
      </c>
      <c r="C563" s="30" t="n">
        <f aca="false">$C$562*(1-Inputs!$C$66)</f>
        <v>1338.43273606452</v>
      </c>
    </row>
    <row r="564" customFormat="false" ht="15" hidden="false" customHeight="false" outlineLevel="0" collapsed="false">
      <c r="B564" s="9" t="s">
        <v>169</v>
      </c>
      <c r="C564" s="24" t="n">
        <f aca="false">$C$533*(1+Inputs!$C$65)</f>
        <v>927.801141646443</v>
      </c>
    </row>
    <row r="566" customFormat="false" ht="15" hidden="false" customHeight="false" outlineLevel="0" collapsed="false">
      <c r="B566" s="25" t="s">
        <v>170</v>
      </c>
      <c r="C566" s="26"/>
      <c r="D566" s="26" t="n">
        <v>0</v>
      </c>
      <c r="E566" s="26" t="n">
        <v>1</v>
      </c>
      <c r="F566" s="26" t="n">
        <v>2</v>
      </c>
      <c r="G566" s="26" t="n">
        <v>3</v>
      </c>
      <c r="H566" s="26" t="n">
        <v>4</v>
      </c>
      <c r="I566" s="26" t="n">
        <v>5</v>
      </c>
      <c r="J566" s="26" t="n">
        <v>6</v>
      </c>
      <c r="K566" s="26" t="n">
        <v>7</v>
      </c>
      <c r="L566" s="26" t="n">
        <v>8</v>
      </c>
      <c r="M566" s="26" t="n">
        <v>9</v>
      </c>
      <c r="N566" s="26" t="n">
        <v>10</v>
      </c>
    </row>
    <row r="567" customFormat="false" ht="15" hidden="false" customHeight="false" outlineLevel="0" collapsed="false">
      <c r="B567" s="29" t="s">
        <v>171</v>
      </c>
      <c r="D567" s="30" t="n">
        <f aca="false">-$C$564</f>
        <v>-927.801141646443</v>
      </c>
      <c r="E567" s="30" t="n">
        <f aca="false">E555</f>
        <v>-34.5159552</v>
      </c>
      <c r="F567" s="30" t="n">
        <f aca="false">F555</f>
        <v>-33.197245056</v>
      </c>
      <c r="G567" s="30" t="n">
        <f aca="false">G555</f>
        <v>79.21415009088</v>
      </c>
      <c r="H567" s="30" t="n">
        <f aca="false">H555</f>
        <v>81.0938216246976</v>
      </c>
      <c r="I567" s="30" t="n">
        <f aca="false">I555</f>
        <v>81.1249491641916</v>
      </c>
      <c r="J567" s="30" t="n">
        <f aca="false">J555</f>
        <v>82.5497857067254</v>
      </c>
      <c r="K567" s="30" t="n">
        <f aca="false">K555</f>
        <v>83.9979571836874</v>
      </c>
      <c r="L567" s="30" t="n">
        <f aca="false">L555</f>
        <v>85.4697885868815</v>
      </c>
      <c r="M567" s="30" t="n">
        <f aca="false">M555</f>
        <v>66.9341147584878</v>
      </c>
      <c r="N567" s="30" t="n">
        <f aca="false">N555+$C$563</f>
        <v>1419.54235745085</v>
      </c>
    </row>
    <row r="568" customFormat="false" ht="15" hidden="false" customHeight="false" outlineLevel="0" collapsed="false">
      <c r="B568" s="29" t="s">
        <v>172</v>
      </c>
      <c r="C568" s="31" t="n">
        <f aca="false">IRR(D567:N567,0.08)</f>
        <v>0.0835721185623457</v>
      </c>
    </row>
    <row r="570" customFormat="false" ht="15" hidden="false" customHeight="false" outlineLevel="0" collapsed="false">
      <c r="B570" s="9" t="s">
        <v>180</v>
      </c>
      <c r="C570" s="24" t="n">
        <f aca="false">Inputs!$C$77*$C$533</f>
        <v>500.28492931916</v>
      </c>
    </row>
    <row r="571" customFormat="false" ht="15" hidden="false" customHeight="false" outlineLevel="0" collapsed="false">
      <c r="B571" s="9" t="s">
        <v>181</v>
      </c>
      <c r="C571" s="24" t="n">
        <f aca="false">$C$570*Inputs!$C$78/(1-(1+Inputs!$C$78)^(-Inputs!$C$80))</f>
        <v>39.1356481916973</v>
      </c>
    </row>
    <row r="572" customFormat="false" ht="15" hidden="false" customHeight="false" outlineLevel="0" collapsed="false">
      <c r="B572" s="9" t="s">
        <v>182</v>
      </c>
      <c r="C572" s="24" t="n">
        <f aca="false">$C$570*(1+Inputs!$C$78)^(Inputs!$C$81-Inputs!$C$79)-$C$571*((1+Inputs!$C$78)^(Inputs!$C$81-Inputs!$C$79)-1)/Inputs!$C$78</f>
        <v>448.882801596255</v>
      </c>
    </row>
    <row r="573" customFormat="false" ht="15" hidden="false" customHeight="false" outlineLevel="0" collapsed="false">
      <c r="B573" s="9" t="s">
        <v>183</v>
      </c>
      <c r="C573" s="20" t="n">
        <f aca="false">IF($C$523="renew",1,0)</f>
        <v>1</v>
      </c>
    </row>
    <row r="574" customFormat="false" ht="15" hidden="false" customHeight="false" outlineLevel="0" collapsed="false">
      <c r="B574" s="9" t="s">
        <v>184</v>
      </c>
      <c r="C574" s="20" t="n">
        <f aca="false">IF($C$573=1,Inputs!$C$86,Inputs!$C$87)</f>
        <v>20</v>
      </c>
    </row>
    <row r="575" customFormat="false" ht="15" hidden="false" customHeight="false" outlineLevel="0" collapsed="false">
      <c r="B575" s="9" t="s">
        <v>185</v>
      </c>
      <c r="C575" s="24" t="n">
        <f aca="false">IF($C$573=1,INDEX($E$551:$O$551,(Inputs!$C$81+1))-INDEX($E$552:$O$552,(Inputs!$C$81+1)),INDEX($E$546:$O$546,(Inputs!$C$81+1))+INDEX($E$548:$O$548,(Inputs!$C$81+1))-INDEX($E$549:$O$549,(Inputs!$C$81+1))-Inputs!$C$12*INDEX($E$546:$O$546,(Inputs!$C$81+1))-Inputs!$C$39*(1+Inputs!$C$11)^((Inputs!$C$81+1)-1))</f>
        <v>85.4697885868815</v>
      </c>
    </row>
    <row r="576" customFormat="false" ht="15" hidden="false" customHeight="false" outlineLevel="0" collapsed="false">
      <c r="B576" s="9" t="s">
        <v>186</v>
      </c>
      <c r="C576" s="24" t="n">
        <f aca="false">$C$575/Inputs!$C$84</f>
        <v>61.0498489906296</v>
      </c>
    </row>
    <row r="577" customFormat="false" ht="15" hidden="false" customHeight="false" outlineLevel="0" collapsed="false">
      <c r="B577" s="9" t="s">
        <v>187</v>
      </c>
      <c r="C577" s="24" t="n">
        <f aca="false">$C$576*(1-(1+Inputs!$C$83)^(-$C$574))/Inputs!$C$83</f>
        <v>672.678203553656</v>
      </c>
    </row>
    <row r="578" customFormat="false" ht="15" hidden="false" customHeight="false" outlineLevel="0" collapsed="false">
      <c r="B578" s="9" t="s">
        <v>188</v>
      </c>
      <c r="C578" s="24" t="n">
        <f aca="false">$C$575/$C$558</f>
        <v>1367.5166173901</v>
      </c>
    </row>
    <row r="579" customFormat="false" ht="15" hidden="false" customHeight="false" outlineLevel="0" collapsed="false">
      <c r="B579" s="9" t="s">
        <v>189</v>
      </c>
      <c r="C579" s="24" t="n">
        <f aca="false">Inputs!$C$85*$C$578</f>
        <v>752.134139564557</v>
      </c>
    </row>
    <row r="580" customFormat="false" ht="15" hidden="false" customHeight="false" outlineLevel="0" collapsed="false">
      <c r="B580" s="29" t="s">
        <v>190</v>
      </c>
      <c r="C580" s="30" t="n">
        <f aca="false">MIN($C$577,$C$579)</f>
        <v>672.678203553656</v>
      </c>
    </row>
    <row r="581" customFormat="false" ht="15" hidden="false" customHeight="false" outlineLevel="0" collapsed="false">
      <c r="B581" s="29" t="s">
        <v>191</v>
      </c>
      <c r="C581" s="30" t="n">
        <f aca="false">$C$580*(1-Inputs!$C$82)-$C$572</f>
        <v>217.068619921864</v>
      </c>
    </row>
    <row r="582" customFormat="false" ht="15" hidden="false" customHeight="false" outlineLevel="0" collapsed="false">
      <c r="B582" s="9" t="s">
        <v>192</v>
      </c>
      <c r="C582" s="24" t="n">
        <f aca="false">$C$580*Inputs!$C$83/(1-(1+Inputs!$C$83)^(-$C$574))</f>
        <v>61.0498489906296</v>
      </c>
    </row>
    <row r="584" customFormat="false" ht="15" hidden="false" customHeight="false" outlineLevel="0" collapsed="false">
      <c r="B584" s="25" t="s">
        <v>193</v>
      </c>
      <c r="C584" s="26"/>
      <c r="D584" s="26" t="n">
        <v>0</v>
      </c>
      <c r="E584" s="26" t="n">
        <v>1</v>
      </c>
      <c r="F584" s="26" t="n">
        <v>2</v>
      </c>
      <c r="G584" s="26" t="n">
        <v>3</v>
      </c>
      <c r="H584" s="26" t="n">
        <v>4</v>
      </c>
      <c r="I584" s="26" t="n">
        <v>5</v>
      </c>
      <c r="J584" s="26" t="n">
        <v>6</v>
      </c>
      <c r="K584" s="26" t="n">
        <v>7</v>
      </c>
      <c r="L584" s="26" t="n">
        <v>8</v>
      </c>
      <c r="M584" s="26" t="n">
        <v>9</v>
      </c>
      <c r="N584" s="26" t="n">
        <v>10</v>
      </c>
    </row>
    <row r="585" customFormat="false" ht="15" hidden="false" customHeight="false" outlineLevel="0" collapsed="false">
      <c r="B585" s="9" t="s">
        <v>194</v>
      </c>
      <c r="E585" s="24" t="n">
        <f aca="false">$C$570</f>
        <v>500.28492931916</v>
      </c>
      <c r="F585" s="24" t="n">
        <f aca="false">IF(F$584=Inputs!$C$81+1,$C$580,E589)</f>
        <v>500.28492931916</v>
      </c>
      <c r="G585" s="24" t="n">
        <f aca="false">IF(G$584=Inputs!$C$81+1,$C$580,F589)</f>
        <v>500.28492931916</v>
      </c>
      <c r="H585" s="24" t="n">
        <f aca="false">IF(H$584=Inputs!$C$81+1,$C$580,G589)</f>
        <v>491.166376886613</v>
      </c>
      <c r="I585" s="24" t="n">
        <f aca="false">IF(I$584=Inputs!$C$81+1,$C$580,H589)</f>
        <v>481.500711308112</v>
      </c>
      <c r="J585" s="24" t="n">
        <f aca="false">IF(J$584=Inputs!$C$81+1,$C$580,I589)</f>
        <v>471.255105794901</v>
      </c>
      <c r="K585" s="24" t="n">
        <f aca="false">IF(K$584=Inputs!$C$81+1,$C$580,J589)</f>
        <v>460.394763950898</v>
      </c>
      <c r="L585" s="24" t="n">
        <f aca="false">IF(L$584=Inputs!$C$81+1,$C$580,K589)</f>
        <v>672.678203553656</v>
      </c>
      <c r="M585" s="24" t="n">
        <f aca="false">IF(M$584=Inputs!$C$81+1,$C$580,L589)</f>
        <v>655.352437794014</v>
      </c>
      <c r="N585" s="24" t="n">
        <f aca="false">IF(N$584=Inputs!$C$81+1,$C$580,M589)</f>
        <v>636.900497259995</v>
      </c>
    </row>
    <row r="586" customFormat="false" ht="15" hidden="false" customHeight="false" outlineLevel="0" collapsed="false">
      <c r="B586" s="9" t="s">
        <v>195</v>
      </c>
      <c r="E586" s="23" t="n">
        <f aca="false">IF(E$584&lt;=Inputs!$C$81,Inputs!$C$78,Inputs!$C$83)</f>
        <v>0.06</v>
      </c>
      <c r="F586" s="23" t="n">
        <f aca="false">IF(F$584&lt;=Inputs!$C$81,Inputs!$C$78,Inputs!$C$83)</f>
        <v>0.06</v>
      </c>
      <c r="G586" s="23" t="n">
        <f aca="false">IF(G$584&lt;=Inputs!$C$81,Inputs!$C$78,Inputs!$C$83)</f>
        <v>0.06</v>
      </c>
      <c r="H586" s="23" t="n">
        <f aca="false">IF(H$584&lt;=Inputs!$C$81,Inputs!$C$78,Inputs!$C$83)</f>
        <v>0.06</v>
      </c>
      <c r="I586" s="23" t="n">
        <f aca="false">IF(I$584&lt;=Inputs!$C$81,Inputs!$C$78,Inputs!$C$83)</f>
        <v>0.06</v>
      </c>
      <c r="J586" s="23" t="n">
        <f aca="false">IF(J$584&lt;=Inputs!$C$81,Inputs!$C$78,Inputs!$C$83)</f>
        <v>0.06</v>
      </c>
      <c r="K586" s="23" t="n">
        <f aca="false">IF(K$584&lt;=Inputs!$C$81,Inputs!$C$78,Inputs!$C$83)</f>
        <v>0.06</v>
      </c>
      <c r="L586" s="23" t="n">
        <f aca="false">IF(L$584&lt;=Inputs!$C$81,Inputs!$C$78,Inputs!$C$83)</f>
        <v>0.065</v>
      </c>
      <c r="M586" s="23" t="n">
        <f aca="false">IF(M$584&lt;=Inputs!$C$81,Inputs!$C$78,Inputs!$C$83)</f>
        <v>0.065</v>
      </c>
      <c r="N586" s="23" t="n">
        <f aca="false">IF(N$584&lt;=Inputs!$C$81,Inputs!$C$78,Inputs!$C$83)</f>
        <v>0.065</v>
      </c>
    </row>
    <row r="587" customFormat="false" ht="15" hidden="false" customHeight="false" outlineLevel="0" collapsed="false">
      <c r="B587" s="9" t="s">
        <v>196</v>
      </c>
      <c r="E587" s="24" t="n">
        <f aca="false">E585*E586</f>
        <v>30.0170957591496</v>
      </c>
      <c r="F587" s="24" t="n">
        <f aca="false">F585*F586</f>
        <v>30.0170957591496</v>
      </c>
      <c r="G587" s="24" t="n">
        <f aca="false">G585*G586</f>
        <v>30.0170957591496</v>
      </c>
      <c r="H587" s="24" t="n">
        <f aca="false">H585*H586</f>
        <v>29.4699826131968</v>
      </c>
      <c r="I587" s="24" t="n">
        <f aca="false">I585*I586</f>
        <v>28.8900426784867</v>
      </c>
      <c r="J587" s="24" t="n">
        <f aca="false">J585*J586</f>
        <v>28.2753063476941</v>
      </c>
      <c r="K587" s="24" t="n">
        <f aca="false">K585*K586</f>
        <v>27.6236858370539</v>
      </c>
      <c r="L587" s="24" t="n">
        <f aca="false">L585*L586</f>
        <v>43.7240832309876</v>
      </c>
      <c r="M587" s="24" t="n">
        <f aca="false">M585*M586</f>
        <v>42.5979084566109</v>
      </c>
      <c r="N587" s="24" t="n">
        <f aca="false">N585*N586</f>
        <v>41.3985323218997</v>
      </c>
    </row>
    <row r="588" customFormat="false" ht="15" hidden="false" customHeight="false" outlineLevel="0" collapsed="false">
      <c r="B588" s="9" t="s">
        <v>197</v>
      </c>
      <c r="E588" s="24" t="n">
        <f aca="false">IF(E$584&lt;=Inputs!$C$81,IF(E$584&lt;=Inputs!$C$79,0,$C$571-E587),$C$582-E587)</f>
        <v>0</v>
      </c>
      <c r="F588" s="24" t="n">
        <f aca="false">IF(F$584&lt;=Inputs!$C$81,IF(F$584&lt;=Inputs!$C$79,0,$C$571-F587),$C$582-F587)</f>
        <v>0</v>
      </c>
      <c r="G588" s="24" t="n">
        <f aca="false">IF(G$584&lt;=Inputs!$C$81,IF(G$584&lt;=Inputs!$C$79,0,$C$571-G587),$C$582-G587)</f>
        <v>9.11855243254773</v>
      </c>
      <c r="H588" s="24" t="n">
        <f aca="false">IF(H$584&lt;=Inputs!$C$81,IF(H$584&lt;=Inputs!$C$79,0,$C$571-H587),$C$582-H587)</f>
        <v>9.66566557850059</v>
      </c>
      <c r="I588" s="24" t="n">
        <f aca="false">IF(I$584&lt;=Inputs!$C$81,IF(I$584&lt;=Inputs!$C$79,0,$C$571-I587),$C$582-I587)</f>
        <v>10.2456055132106</v>
      </c>
      <c r="J588" s="24" t="n">
        <f aca="false">IF(J$584&lt;=Inputs!$C$81,IF(J$584&lt;=Inputs!$C$79,0,$C$571-J587),$C$582-J587)</f>
        <v>10.8603418440033</v>
      </c>
      <c r="K588" s="24" t="n">
        <f aca="false">IF(K$584&lt;=Inputs!$C$81,IF(K$584&lt;=Inputs!$C$79,0,$C$571-K587),$C$582-K587)</f>
        <v>11.5119623546435</v>
      </c>
      <c r="L588" s="24" t="n">
        <f aca="false">IF(L$584&lt;=Inputs!$C$81,IF(L$584&lt;=Inputs!$C$79,0,$C$571-L587),$C$582-L587)</f>
        <v>17.325765759642</v>
      </c>
      <c r="M588" s="24" t="n">
        <f aca="false">IF(M$584&lt;=Inputs!$C$81,IF(M$584&lt;=Inputs!$C$79,0,$C$571-M587),$C$582-M587)</f>
        <v>18.4519405340187</v>
      </c>
      <c r="N588" s="24" t="n">
        <f aca="false">IF(N$584&lt;=Inputs!$C$81,IF(N$584&lt;=Inputs!$C$79,0,$C$571-N587),$C$582-N587)</f>
        <v>19.65131666873</v>
      </c>
    </row>
    <row r="589" customFormat="false" ht="15" hidden="false" customHeight="false" outlineLevel="0" collapsed="false">
      <c r="B589" s="29" t="s">
        <v>198</v>
      </c>
      <c r="E589" s="30" t="n">
        <f aca="false">E585-E588</f>
        <v>500.28492931916</v>
      </c>
      <c r="F589" s="30" t="n">
        <f aca="false">F585-F588</f>
        <v>500.28492931916</v>
      </c>
      <c r="G589" s="30" t="n">
        <f aca="false">G585-G588</f>
        <v>491.166376886613</v>
      </c>
      <c r="H589" s="30" t="n">
        <f aca="false">H585-H588</f>
        <v>481.500711308112</v>
      </c>
      <c r="I589" s="30" t="n">
        <f aca="false">I585-I588</f>
        <v>471.255105794901</v>
      </c>
      <c r="J589" s="30" t="n">
        <f aca="false">J585-J588</f>
        <v>460.394763950898</v>
      </c>
      <c r="K589" s="30" t="n">
        <f aca="false">K585-K588</f>
        <v>448.882801596255</v>
      </c>
      <c r="L589" s="30" t="n">
        <f aca="false">L585-L588</f>
        <v>655.352437794014</v>
      </c>
      <c r="M589" s="30" t="n">
        <f aca="false">M585-M588</f>
        <v>636.900497259995</v>
      </c>
      <c r="N589" s="30" t="n">
        <f aca="false">N585-N588</f>
        <v>617.249180591265</v>
      </c>
    </row>
    <row r="590" customFormat="false" ht="15" hidden="false" customHeight="false" outlineLevel="0" collapsed="false">
      <c r="B590" s="9" t="s">
        <v>199</v>
      </c>
      <c r="E590" s="24" t="n">
        <f aca="false">E587+E588</f>
        <v>30.0170957591496</v>
      </c>
      <c r="F590" s="24" t="n">
        <f aca="false">F587+F588</f>
        <v>30.0170957591496</v>
      </c>
      <c r="G590" s="24" t="n">
        <f aca="false">G587+G588</f>
        <v>39.1356481916973</v>
      </c>
      <c r="H590" s="24" t="n">
        <f aca="false">H587+H588</f>
        <v>39.1356481916973</v>
      </c>
      <c r="I590" s="24" t="n">
        <f aca="false">I587+I588</f>
        <v>39.1356481916973</v>
      </c>
      <c r="J590" s="24" t="n">
        <f aca="false">J587+J588</f>
        <v>39.1356481916973</v>
      </c>
      <c r="K590" s="24" t="n">
        <f aca="false">K587+K588</f>
        <v>39.1356481916973</v>
      </c>
      <c r="L590" s="24" t="n">
        <f aca="false">L587+L588</f>
        <v>61.0498489906296</v>
      </c>
      <c r="M590" s="24" t="n">
        <f aca="false">M587+M588</f>
        <v>61.0498489906296</v>
      </c>
      <c r="N590" s="24" t="n">
        <f aca="false">N587+N588</f>
        <v>61.0498489906296</v>
      </c>
    </row>
    <row r="591" customFormat="false" ht="15" hidden="false" customHeight="false" outlineLevel="0" collapsed="false">
      <c r="B591" s="9" t="s">
        <v>200</v>
      </c>
      <c r="E591" s="22" t="n">
        <f aca="false">(E551-E552)/E590</f>
        <v>1.64852873166174</v>
      </c>
      <c r="F591" s="22" t="n">
        <f aca="false">(F551-F552)/F590</f>
        <v>1.69246070144926</v>
      </c>
      <c r="G591" s="22" t="n">
        <f aca="false">(G551-G552)/G590</f>
        <v>2.02409194049545</v>
      </c>
      <c r="H591" s="22" t="n">
        <f aca="false">(H551-H552)/H590</f>
        <v>2.07212159173849</v>
      </c>
      <c r="I591" s="22" t="n">
        <f aca="false">(I551-I552)/I590</f>
        <v>2.0729169673342</v>
      </c>
      <c r="J591" s="22" t="n">
        <f aca="false">(J551-J552)/J590</f>
        <v>2.1093246061078</v>
      </c>
      <c r="K591" s="22" t="n">
        <f aca="false">(K551-K552)/K590</f>
        <v>2.1463285026542</v>
      </c>
      <c r="L591" s="22" t="n">
        <f aca="false">(L551-L552)/L590</f>
        <v>1.4</v>
      </c>
      <c r="M591" s="22" t="n">
        <f aca="false">(M551-M552)/M590</f>
        <v>1.30604933635014</v>
      </c>
      <c r="N591" s="22" t="n">
        <f aca="false">(N551-N552)/N590</f>
        <v>1.32858021317587</v>
      </c>
    </row>
    <row r="592" customFormat="false" ht="15" hidden="false" customHeight="false" outlineLevel="0" collapsed="false">
      <c r="B592" s="29" t="s">
        <v>201</v>
      </c>
      <c r="C592" s="32" t="n">
        <f aca="false">MIN(I591:K591)</f>
        <v>2.0729169673342</v>
      </c>
    </row>
    <row r="594" customFormat="false" ht="15" hidden="false" customHeight="false" outlineLevel="0" collapsed="false">
      <c r="B594" s="25" t="s">
        <v>202</v>
      </c>
      <c r="C594" s="26"/>
      <c r="D594" s="26" t="n">
        <v>0</v>
      </c>
      <c r="E594" s="26" t="n">
        <v>1</v>
      </c>
      <c r="F594" s="26" t="n">
        <v>2</v>
      </c>
      <c r="G594" s="26" t="n">
        <v>3</v>
      </c>
      <c r="H594" s="26" t="n">
        <v>4</v>
      </c>
      <c r="I594" s="26" t="n">
        <v>5</v>
      </c>
      <c r="J594" s="26" t="n">
        <v>6</v>
      </c>
      <c r="K594" s="26" t="n">
        <v>7</v>
      </c>
      <c r="L594" s="26" t="n">
        <v>8</v>
      </c>
      <c r="M594" s="26" t="n">
        <v>9</v>
      </c>
      <c r="N594" s="26" t="n">
        <v>10</v>
      </c>
    </row>
    <row r="595" customFormat="false" ht="15" hidden="false" customHeight="false" outlineLevel="0" collapsed="false">
      <c r="B595" s="9" t="s">
        <v>203</v>
      </c>
      <c r="D595" s="24" t="n">
        <f aca="false">$C$570*(1-Inputs!$C$82)</f>
        <v>495.282080025969</v>
      </c>
      <c r="E595" s="24" t="n">
        <f aca="false">-E590+IF(E$584=Inputs!$C$81,$C$581,0)</f>
        <v>-30.0170957591496</v>
      </c>
      <c r="F595" s="24" t="n">
        <f aca="false">-F590+IF(F$584=Inputs!$C$81,$C$581,0)</f>
        <v>-30.0170957591496</v>
      </c>
      <c r="G595" s="24" t="n">
        <f aca="false">-G590+IF(G$584=Inputs!$C$81,$C$581,0)</f>
        <v>-39.1356481916973</v>
      </c>
      <c r="H595" s="24" t="n">
        <f aca="false">-H590+IF(H$584=Inputs!$C$81,$C$581,0)</f>
        <v>-39.1356481916973</v>
      </c>
      <c r="I595" s="24" t="n">
        <f aca="false">-I590+IF(I$584=Inputs!$C$81,$C$581,0)</f>
        <v>-39.1356481916973</v>
      </c>
      <c r="J595" s="24" t="n">
        <f aca="false">-J590+IF(J$584=Inputs!$C$81,$C$581,0)</f>
        <v>-39.1356481916973</v>
      </c>
      <c r="K595" s="24" t="n">
        <f aca="false">-K590+IF(K$584=Inputs!$C$81,$C$581,0)</f>
        <v>177.932971730167</v>
      </c>
      <c r="L595" s="24" t="n">
        <f aca="false">-L590+IF(L$584=Inputs!$C$81,$C$581,0)</f>
        <v>-61.0498489906296</v>
      </c>
      <c r="M595" s="24" t="n">
        <f aca="false">-M590+IF(M$584=Inputs!$C$81,$C$581,0)</f>
        <v>-61.0498489906296</v>
      </c>
      <c r="N595" s="24" t="n">
        <f aca="false">-N590+IF(N$584=Inputs!$C$81,$C$581,0)-N589</f>
        <v>-678.299029581895</v>
      </c>
    </row>
    <row r="596" customFormat="false" ht="15" hidden="false" customHeight="false" outlineLevel="0" collapsed="false">
      <c r="B596" s="29" t="s">
        <v>202</v>
      </c>
      <c r="D596" s="30" t="n">
        <f aca="false">D567+D595</f>
        <v>-432.519061620474</v>
      </c>
      <c r="E596" s="30" t="n">
        <f aca="false">E567+E595</f>
        <v>-64.5330509591496</v>
      </c>
      <c r="F596" s="30" t="n">
        <f aca="false">F567+F595</f>
        <v>-63.2143408151496</v>
      </c>
      <c r="G596" s="30" t="n">
        <f aca="false">G567+G595</f>
        <v>40.0785018991827</v>
      </c>
      <c r="H596" s="30" t="n">
        <f aca="false">H567+H595</f>
        <v>41.9581734330003</v>
      </c>
      <c r="I596" s="30" t="n">
        <f aca="false">I567+I595</f>
        <v>41.9893009724942</v>
      </c>
      <c r="J596" s="30" t="n">
        <f aca="false">J567+J595</f>
        <v>43.414137515028</v>
      </c>
      <c r="K596" s="30" t="n">
        <f aca="false">K567+K595</f>
        <v>261.930928913855</v>
      </c>
      <c r="L596" s="30" t="n">
        <f aca="false">L567+L595</f>
        <v>24.4199395962519</v>
      </c>
      <c r="M596" s="30" t="n">
        <f aca="false">M567+M595</f>
        <v>5.88426576785821</v>
      </c>
      <c r="N596" s="30" t="n">
        <f aca="false">N567+N595</f>
        <v>741.243327868953</v>
      </c>
    </row>
    <row r="597" customFormat="false" ht="15" hidden="false" customHeight="false" outlineLevel="0" collapsed="false">
      <c r="B597" s="29" t="s">
        <v>204</v>
      </c>
      <c r="C597" s="31" t="n">
        <f aca="false">IRR(D596:N596,0.08)</f>
        <v>0.1</v>
      </c>
    </row>
    <row r="598" customFormat="false" ht="15" hidden="false" customHeight="false" outlineLevel="0" collapsed="false">
      <c r="B598" s="9" t="s">
        <v>205</v>
      </c>
      <c r="C598" s="33" t="n">
        <f aca="false">SUMIF(D596:N596,"&gt;0")/-SUMIF(D596:N596,"&lt;0")</f>
        <v>2.1434775698063</v>
      </c>
    </row>
    <row r="599" customFormat="false" ht="15" hidden="false" customHeight="false" outlineLevel="0" collapsed="false">
      <c r="B599" s="9" t="s">
        <v>206</v>
      </c>
      <c r="C599" s="24" t="n">
        <f aca="false">-D596</f>
        <v>432.519061620474</v>
      </c>
    </row>
    <row r="601" customFormat="false" ht="15" hidden="false" customHeight="false" outlineLevel="0" collapsed="false">
      <c r="B601" s="29" t="s">
        <v>268</v>
      </c>
      <c r="C601" s="31" t="n">
        <f aca="false">Inputs!$C$97</f>
        <v>0.1</v>
      </c>
    </row>
    <row r="602" customFormat="false" ht="15" hidden="false" customHeight="false" outlineLevel="0" collapsed="false">
      <c r="B602" s="29" t="s">
        <v>269</v>
      </c>
      <c r="C602" s="31" t="n">
        <f aca="false">Thresholds!$C$597</f>
        <v>0.1</v>
      </c>
    </row>
    <row r="603" customFormat="false" ht="15" hidden="false" customHeight="false" outlineLevel="0" collapsed="false">
      <c r="B603" s="29" t="s">
        <v>264</v>
      </c>
      <c r="C603" s="37" t="n">
        <f aca="false">C602-C601</f>
        <v>0</v>
      </c>
    </row>
    <row r="604" customFormat="false" ht="15" hidden="false" customHeight="false" outlineLevel="0" collapsed="false">
      <c r="B604" s="29" t="s">
        <v>265</v>
      </c>
      <c r="C604" s="38" t="str">
        <f aca="false">IF(ABS(C603)&lt;=0.000001,"OK","FAIL")</f>
        <v>OK</v>
      </c>
    </row>
    <row r="607" customFormat="false" ht="15" hidden="false" customHeight="false" outlineLevel="0" collapsed="false">
      <c r="B607" s="7" t="s">
        <v>282</v>
      </c>
      <c r="C607" s="8"/>
      <c r="D607" s="8"/>
      <c r="E607" s="8"/>
      <c r="F607" s="8"/>
      <c r="G607" s="8"/>
      <c r="H607" s="8"/>
      <c r="I607" s="8"/>
      <c r="J607" s="8"/>
      <c r="K607" s="8"/>
      <c r="L607" s="8"/>
      <c r="M607" s="8"/>
      <c r="N607" s="8"/>
      <c r="O607" s="8"/>
    </row>
    <row r="608" customFormat="false" ht="15" hidden="false" customHeight="false" outlineLevel="0" collapsed="false">
      <c r="B608" s="29" t="s">
        <v>283</v>
      </c>
      <c r="C608" s="40" t="n">
        <v>652.410329974929</v>
      </c>
      <c r="D608" s="6" t="s">
        <v>261</v>
      </c>
    </row>
    <row r="609" customFormat="false" ht="15" hidden="false" customHeight="false" outlineLevel="0" collapsed="false">
      <c r="B609" s="9" t="s">
        <v>130</v>
      </c>
      <c r="C609" s="16" t="s">
        <v>224</v>
      </c>
    </row>
    <row r="610" customFormat="false" ht="15" hidden="false" customHeight="false" outlineLevel="0" collapsed="false">
      <c r="B610" s="9" t="s">
        <v>131</v>
      </c>
      <c r="C610" s="19" t="n">
        <f aca="false">Inputs!$C$25</f>
        <v>0</v>
      </c>
    </row>
    <row r="611" customFormat="false" ht="15" hidden="false" customHeight="false" outlineLevel="0" collapsed="false">
      <c r="B611" s="9" t="s">
        <v>132</v>
      </c>
      <c r="C611" s="20" t="n">
        <f aca="false">Inputs!$C$32</f>
        <v>3</v>
      </c>
    </row>
    <row r="612" customFormat="false" ht="15" hidden="false" customHeight="false" outlineLevel="0" collapsed="false">
      <c r="B612" s="9" t="s">
        <v>133</v>
      </c>
      <c r="C612" s="13" t="n">
        <v>0</v>
      </c>
    </row>
    <row r="613" customFormat="false" ht="15" hidden="false" customHeight="false" outlineLevel="0" collapsed="false">
      <c r="B613" s="9" t="s">
        <v>134</v>
      </c>
      <c r="C613" s="21" t="n">
        <f aca="false">Inputs!$C$60</f>
        <v>0.45</v>
      </c>
    </row>
    <row r="614" customFormat="false" ht="15" hidden="false" customHeight="false" outlineLevel="0" collapsed="false">
      <c r="B614" s="9" t="s">
        <v>135</v>
      </c>
      <c r="C614" s="22" t="n">
        <f aca="false">Inputs!$C$61</f>
        <v>1.55</v>
      </c>
    </row>
    <row r="615" customFormat="false" ht="15" hidden="false" customHeight="false" outlineLevel="0" collapsed="false">
      <c r="B615" s="9" t="s">
        <v>136</v>
      </c>
      <c r="C615" s="23" t="n">
        <f aca="false">Inputs!$C$71</f>
        <v>0</v>
      </c>
    </row>
    <row r="616" customFormat="false" ht="15" hidden="false" customHeight="false" outlineLevel="0" collapsed="false">
      <c r="B616" s="9" t="s">
        <v>30</v>
      </c>
      <c r="C616" s="22" t="n">
        <f aca="false">Inputs!$C$18</f>
        <v>1.4</v>
      </c>
    </row>
    <row r="617" customFormat="false" ht="15" hidden="false" customHeight="false" outlineLevel="0" collapsed="false">
      <c r="B617" s="9" t="s">
        <v>137</v>
      </c>
      <c r="C617" s="19" t="n">
        <f aca="false">Inputs!$C$43</f>
        <v>0.9</v>
      </c>
    </row>
    <row r="618" customFormat="false" ht="15" hidden="false" customHeight="false" outlineLevel="0" collapsed="false">
      <c r="B618" s="9" t="s">
        <v>138</v>
      </c>
      <c r="C618" s="24" t="n">
        <f aca="false">Inputs!$C$49</f>
        <v>120</v>
      </c>
    </row>
    <row r="619" customFormat="false" ht="15" hidden="false" customHeight="false" outlineLevel="0" collapsed="false">
      <c r="B619" s="9" t="s">
        <v>139</v>
      </c>
      <c r="C619" s="24" t="n">
        <f aca="false">$C$608</f>
        <v>652.410329974929</v>
      </c>
    </row>
    <row r="620" customFormat="false" ht="15" hidden="false" customHeight="false" outlineLevel="0" collapsed="false">
      <c r="B620" s="9" t="s">
        <v>140</v>
      </c>
      <c r="C620" s="24" t="n">
        <f aca="false">Inputs!$C$6*1000*Inputs!$C$7*12*(1+Inputs!$C$8)^(Inputs!$C$9-1)/1000000</f>
        <v>60.8711509000706</v>
      </c>
    </row>
    <row r="621" customFormat="false" ht="15" hidden="false" customHeight="false" outlineLevel="0" collapsed="false">
      <c r="B621" s="25" t="s">
        <v>141</v>
      </c>
      <c r="C621" s="26"/>
      <c r="E621" s="26" t="n">
        <v>1</v>
      </c>
      <c r="F621" s="26" t="n">
        <v>2</v>
      </c>
      <c r="G621" s="26" t="n">
        <v>3</v>
      </c>
      <c r="H621" s="26" t="n">
        <v>4</v>
      </c>
      <c r="I621" s="26" t="n">
        <v>5</v>
      </c>
      <c r="J621" s="26" t="n">
        <v>6</v>
      </c>
      <c r="K621" s="26" t="n">
        <v>7</v>
      </c>
      <c r="L621" s="26" t="n">
        <v>8</v>
      </c>
      <c r="M621" s="26" t="n">
        <v>9</v>
      </c>
      <c r="N621" s="26" t="n">
        <v>10</v>
      </c>
      <c r="O621" s="26" t="n">
        <v>11</v>
      </c>
    </row>
    <row r="622" customFormat="false" ht="15" hidden="false" customHeight="false" outlineLevel="0" collapsed="false">
      <c r="B622" s="9" t="s">
        <v>142</v>
      </c>
      <c r="E622" s="24" t="n">
        <f aca="false">IF(E$621&lt;=Inputs!$C$22,Inputs!$C$21,Inputs!$C$23*(1+Inputs!$C$24)^(E$621-5)*IF(AND($C$610&lt;&gt;0,E$621&gt;=Inputs!$C$26),1+$C$610,1))</f>
        <v>61</v>
      </c>
      <c r="F622" s="24" t="n">
        <f aca="false">IF(F$621&lt;=Inputs!$C$22,Inputs!$C$21,Inputs!$C$23*(1+Inputs!$C$24)^(F$621-5)*IF(AND($C$610&lt;&gt;0,F$621&gt;=Inputs!$C$26),1+$C$610,1))</f>
        <v>61</v>
      </c>
      <c r="G622" s="24" t="n">
        <f aca="false">IF(G$621&lt;=Inputs!$C$22,Inputs!$C$21,Inputs!$C$23*(1+Inputs!$C$24)^(G$621-5)*IF(AND($C$610&lt;&gt;0,G$621&gt;=Inputs!$C$26),1+$C$610,1))</f>
        <v>61</v>
      </c>
      <c r="H622" s="24" t="n">
        <f aca="false">IF(H$621&lt;=Inputs!$C$22,Inputs!$C$21,Inputs!$C$23*(1+Inputs!$C$24)^(H$621-5)*IF(AND($C$610&lt;&gt;0,H$621&gt;=Inputs!$C$26),1+$C$610,1))</f>
        <v>61</v>
      </c>
      <c r="I622" s="24" t="n">
        <f aca="false">IF(I$621&lt;=Inputs!$C$22,Inputs!$C$21,Inputs!$C$23*(1+Inputs!$C$24)^(I$621-5)*IF(AND($C$610&lt;&gt;0,I$621&gt;=Inputs!$C$26),1+$C$610,1))</f>
        <v>67</v>
      </c>
      <c r="J622" s="24" t="n">
        <f aca="false">IF(J$621&lt;=Inputs!$C$22,Inputs!$C$21,Inputs!$C$23*(1+Inputs!$C$24)^(J$621-5)*IF(AND($C$610&lt;&gt;0,J$621&gt;=Inputs!$C$26),1+$C$610,1))</f>
        <v>68.675</v>
      </c>
      <c r="K622" s="24" t="n">
        <f aca="false">IF(K$621&lt;=Inputs!$C$22,Inputs!$C$21,Inputs!$C$23*(1+Inputs!$C$24)^(K$621-5)*IF(AND($C$610&lt;&gt;0,K$621&gt;=Inputs!$C$26),1+$C$610,1))</f>
        <v>70.391875</v>
      </c>
      <c r="L622" s="24" t="n">
        <f aca="false">IF(L$621&lt;=Inputs!$C$22,Inputs!$C$21,Inputs!$C$23*(1+Inputs!$C$24)^(L$621-5)*IF(AND($C$610&lt;&gt;0,L$621&gt;=Inputs!$C$26),1+$C$610,1))</f>
        <v>72.151671875</v>
      </c>
      <c r="M622" s="24" t="n">
        <f aca="false">IF(M$621&lt;=Inputs!$C$22,Inputs!$C$21,Inputs!$C$23*(1+Inputs!$C$24)^(M$621-5)*IF(AND($C$610&lt;&gt;0,M$621&gt;=Inputs!$C$26),1+$C$610,1))</f>
        <v>73.955463671875</v>
      </c>
      <c r="N622" s="24" t="n">
        <f aca="false">IF(N$621&lt;=Inputs!$C$22,Inputs!$C$21,Inputs!$C$23*(1+Inputs!$C$24)^(N$621-5)*IF(AND($C$610&lt;&gt;0,N$621&gt;=Inputs!$C$26),1+$C$610,1))</f>
        <v>75.8043502636718</v>
      </c>
      <c r="O622" s="24" t="n">
        <f aca="false">IF(O$621&lt;=Inputs!$C$22,Inputs!$C$21,Inputs!$C$23*(1+Inputs!$C$24)^(O$621-5)*IF(AND($C$610&lt;&gt;0,O$621&gt;=Inputs!$C$26),1+$C$610,1))</f>
        <v>77.6994590202636</v>
      </c>
    </row>
    <row r="623" customFormat="false" ht="15" hidden="false" customHeight="false" outlineLevel="0" collapsed="false">
      <c r="B623" s="9" t="s">
        <v>143</v>
      </c>
      <c r="E623" s="24" t="n">
        <f aca="false">Inputs!$C$19*(1+Inputs!$C$20)^(E$621-1)</f>
        <v>74</v>
      </c>
      <c r="F623" s="24" t="n">
        <f aca="false">Inputs!$C$19*(1+Inputs!$C$20)^(F$621-1)</f>
        <v>75.48</v>
      </c>
      <c r="G623" s="24" t="n">
        <f aca="false">Inputs!$C$19*(1+Inputs!$C$20)^(G$621-1)</f>
        <v>76.9896</v>
      </c>
      <c r="H623" s="24" t="n">
        <f aca="false">Inputs!$C$19*(1+Inputs!$C$20)^(H$621-1)</f>
        <v>78.529392</v>
      </c>
      <c r="I623" s="24" t="n">
        <f aca="false">Inputs!$C$19*(1+Inputs!$C$20)^(I$621-1)</f>
        <v>80.09997984</v>
      </c>
      <c r="J623" s="24" t="n">
        <f aca="false">Inputs!$C$19*(1+Inputs!$C$20)^(J$621-1)</f>
        <v>81.7019794368</v>
      </c>
      <c r="K623" s="24" t="n">
        <f aca="false">Inputs!$C$19*(1+Inputs!$C$20)^(K$621-1)</f>
        <v>83.336019025536</v>
      </c>
      <c r="L623" s="24" t="n">
        <f aca="false">Inputs!$C$19*(1+Inputs!$C$20)^(L$621-1)</f>
        <v>85.0027394060467</v>
      </c>
      <c r="M623" s="24" t="n">
        <f aca="false">Inputs!$C$19*(1+Inputs!$C$20)^(M$621-1)</f>
        <v>86.7027941941677</v>
      </c>
      <c r="N623" s="24" t="n">
        <f aca="false">Inputs!$C$19*(1+Inputs!$C$20)^(N$621-1)</f>
        <v>88.436850078051</v>
      </c>
      <c r="O623" s="24" t="n">
        <f aca="false">Inputs!$C$19*(1+Inputs!$C$20)^(O$621-1)</f>
        <v>90.205587079612</v>
      </c>
    </row>
    <row r="624" customFormat="false" ht="15" hidden="false" customHeight="false" outlineLevel="0" collapsed="false">
      <c r="B624" s="9" t="s">
        <v>144</v>
      </c>
      <c r="E624" s="27" t="n">
        <f aca="false">(1+Inputs!$C$11)^(E$621-1)</f>
        <v>1</v>
      </c>
      <c r="F624" s="27" t="n">
        <f aca="false">(1+Inputs!$C$11)^(F$621-1)</f>
        <v>1.03</v>
      </c>
      <c r="G624" s="27" t="n">
        <f aca="false">(1+Inputs!$C$11)^(G$621-1)</f>
        <v>1.0609</v>
      </c>
      <c r="H624" s="27" t="n">
        <f aca="false">(1+Inputs!$C$11)^(H$621-1)</f>
        <v>1.092727</v>
      </c>
      <c r="I624" s="27" t="n">
        <f aca="false">(1+Inputs!$C$11)^(I$621-1)</f>
        <v>1.12550881</v>
      </c>
      <c r="J624" s="27" t="n">
        <f aca="false">(1+Inputs!$C$11)^(J$621-1)</f>
        <v>1.1592740743</v>
      </c>
      <c r="K624" s="27" t="n">
        <f aca="false">(1+Inputs!$C$11)^(K$621-1)</f>
        <v>1.194052296529</v>
      </c>
      <c r="L624" s="27" t="n">
        <f aca="false">(1+Inputs!$C$11)^(L$621-1)</f>
        <v>1.22987386542487</v>
      </c>
      <c r="M624" s="27" t="n">
        <f aca="false">(1+Inputs!$C$11)^(M$621-1)</f>
        <v>1.26677008138762</v>
      </c>
      <c r="N624" s="27" t="n">
        <f aca="false">(1+Inputs!$C$11)^(N$621-1)</f>
        <v>1.30477318382925</v>
      </c>
      <c r="O624" s="27" t="n">
        <f aca="false">(1+Inputs!$C$11)^(O$621-1)</f>
        <v>1.34391637934412</v>
      </c>
    </row>
    <row r="625" customFormat="false" ht="15" hidden="false" customHeight="false" outlineLevel="0" collapsed="false">
      <c r="B625" s="9" t="s">
        <v>145</v>
      </c>
      <c r="E625" s="19" t="n">
        <f aca="false">IF(OR(E$621&lt;=Inputs!$C$9,$C$609="renew"),IF(AND($C$612&gt;0,E$621&gt;=$C$612),$C$613,Inputs!$C$16),IF($C$609="stranded",0,Inputs!$C$16))</f>
        <v>0.8</v>
      </c>
      <c r="F625" s="19" t="n">
        <f aca="false">IF(OR(F$621&lt;=Inputs!$C$9,$C$609="renew"),IF(AND($C$612&gt;0,F$621&gt;=$C$612),$C$613,Inputs!$C$16),IF($C$609="stranded",0,Inputs!$C$16))</f>
        <v>0.8</v>
      </c>
      <c r="G625" s="19" t="n">
        <f aca="false">IF(OR(G$621&lt;=Inputs!$C$9,$C$609="renew"),IF(AND($C$612&gt;0,G$621&gt;=$C$612),$C$613,Inputs!$C$16),IF($C$609="stranded",0,Inputs!$C$16))</f>
        <v>0.8</v>
      </c>
      <c r="H625" s="19" t="n">
        <f aca="false">IF(OR(H$621&lt;=Inputs!$C$9,$C$609="renew"),IF(AND($C$612&gt;0,H$621&gt;=$C$612),$C$613,Inputs!$C$16),IF($C$609="stranded",0,Inputs!$C$16))</f>
        <v>0.8</v>
      </c>
      <c r="I625" s="19" t="n">
        <f aca="false">IF(OR(I$621&lt;=Inputs!$C$9,$C$609="renew"),IF(AND($C$612&gt;0,I$621&gt;=$C$612),$C$613,Inputs!$C$16),IF($C$609="stranded",0,Inputs!$C$16))</f>
        <v>0.8</v>
      </c>
      <c r="J625" s="19" t="n">
        <f aca="false">IF(OR(J$621&lt;=Inputs!$C$9,$C$609="renew"),IF(AND($C$612&gt;0,J$621&gt;=$C$612),$C$613,Inputs!$C$16),IF($C$609="stranded",0,Inputs!$C$16))</f>
        <v>0.8</v>
      </c>
      <c r="K625" s="19" t="n">
        <f aca="false">IF(OR(K$621&lt;=Inputs!$C$9,$C$609="renew"),IF(AND($C$612&gt;0,K$621&gt;=$C$612),$C$613,Inputs!$C$16),IF($C$609="stranded",0,Inputs!$C$16))</f>
        <v>0.8</v>
      </c>
      <c r="L625" s="19" t="n">
        <f aca="false">IF(OR(L$621&lt;=Inputs!$C$9,$C$609="renew"),IF(AND($C$612&gt;0,L$621&gt;=$C$612),$C$613,Inputs!$C$16),IF($C$609="stranded",0,Inputs!$C$16))</f>
        <v>0.8</v>
      </c>
      <c r="M625" s="19" t="n">
        <f aca="false">IF(OR(M$621&lt;=Inputs!$C$9,$C$609="renew"),IF(AND($C$612&gt;0,M$621&gt;=$C$612),$C$613,Inputs!$C$16),IF($C$609="stranded",0,Inputs!$C$16))</f>
        <v>0.8</v>
      </c>
      <c r="N625" s="19" t="n">
        <f aca="false">IF(OR(N$621&lt;=Inputs!$C$9,$C$609="renew"),IF(AND($C$612&gt;0,N$621&gt;=$C$612),$C$613,Inputs!$C$16),IF($C$609="stranded",0,Inputs!$C$16))</f>
        <v>0.8</v>
      </c>
      <c r="O625" s="19" t="n">
        <f aca="false">IF(OR(O$621&lt;=Inputs!$C$9,$C$609="renew"),IF(AND($C$612&gt;0,O$621&gt;=$C$612),$C$613,Inputs!$C$16),IF($C$609="stranded",0,Inputs!$C$16))</f>
        <v>0.8</v>
      </c>
    </row>
    <row r="626" customFormat="false" ht="15" hidden="false" customHeight="false" outlineLevel="0" collapsed="false">
      <c r="B626" s="9" t="s">
        <v>146</v>
      </c>
      <c r="E626" s="22" t="n">
        <f aca="false">IF(OR(E$621&lt;=Inputs!$C$9,$C$609="renew"),IF(AND($C$612&gt;0,E$621&gt;=$C$612),$C$614,$C$616),IF($C$609="retrofit",Inputs!$C$47,IF($C$609="relet",Inputs!$C$53,0)))</f>
        <v>1.4</v>
      </c>
      <c r="F626" s="22" t="n">
        <f aca="false">IF(OR(F$621&lt;=Inputs!$C$9,$C$609="renew"),IF(AND($C$612&gt;0,F$621&gt;=$C$612),$C$614,$C$616),IF($C$609="retrofit",Inputs!$C$47,IF($C$609="relet",Inputs!$C$53,0)))</f>
        <v>1.4</v>
      </c>
      <c r="G626" s="22" t="n">
        <f aca="false">IF(OR(G$621&lt;=Inputs!$C$9,$C$609="renew"),IF(AND($C$612&gt;0,G$621&gt;=$C$612),$C$614,$C$616),IF($C$609="retrofit",Inputs!$C$47,IF($C$609="relet",Inputs!$C$53,0)))</f>
        <v>1.4</v>
      </c>
      <c r="H626" s="22" t="n">
        <f aca="false">IF(OR(H$621&lt;=Inputs!$C$9,$C$609="renew"),IF(AND($C$612&gt;0,H$621&gt;=$C$612),$C$614,$C$616),IF($C$609="retrofit",Inputs!$C$47,IF($C$609="relet",Inputs!$C$53,0)))</f>
        <v>1.4</v>
      </c>
      <c r="I626" s="22" t="n">
        <f aca="false">IF(OR(I$621&lt;=Inputs!$C$9,$C$609="renew"),IF(AND($C$612&gt;0,I$621&gt;=$C$612),$C$614,$C$616),IF($C$609="retrofit",Inputs!$C$47,IF($C$609="relet",Inputs!$C$53,0)))</f>
        <v>1.4</v>
      </c>
      <c r="J626" s="22" t="n">
        <f aca="false">IF(OR(J$621&lt;=Inputs!$C$9,$C$609="renew"),IF(AND($C$612&gt;0,J$621&gt;=$C$612),$C$614,$C$616),IF($C$609="retrofit",Inputs!$C$47,IF($C$609="relet",Inputs!$C$53,0)))</f>
        <v>1.4</v>
      </c>
      <c r="K626" s="22" t="n">
        <f aca="false">IF(OR(K$621&lt;=Inputs!$C$9,$C$609="renew"),IF(AND($C$612&gt;0,K$621&gt;=$C$612),$C$614,$C$616),IF($C$609="retrofit",Inputs!$C$47,IF($C$609="relet",Inputs!$C$53,0)))</f>
        <v>1.4</v>
      </c>
      <c r="L626" s="22" t="n">
        <f aca="false">IF(OR(L$621&lt;=Inputs!$C$9,$C$609="renew"),IF(AND($C$612&gt;0,L$621&gt;=$C$612),$C$614,$C$616),IF($C$609="retrofit",Inputs!$C$47,IF($C$609="relet",Inputs!$C$53,0)))</f>
        <v>1.4</v>
      </c>
      <c r="M626" s="22" t="n">
        <f aca="false">IF(OR(M$621&lt;=Inputs!$C$9,$C$609="renew"),IF(AND($C$612&gt;0,M$621&gt;=$C$612),$C$614,$C$616),IF($C$609="retrofit",Inputs!$C$47,IF($C$609="relet",Inputs!$C$53,0)))</f>
        <v>1.45</v>
      </c>
      <c r="N626" s="22" t="n">
        <f aca="false">IF(OR(N$621&lt;=Inputs!$C$9,$C$609="renew"),IF(AND($C$612&gt;0,N$621&gt;=$C$612),$C$614,$C$616),IF($C$609="retrofit",Inputs!$C$47,IF($C$609="relet",Inputs!$C$53,0)))</f>
        <v>1.45</v>
      </c>
      <c r="O626" s="22" t="n">
        <f aca="false">IF(OR(O$621&lt;=Inputs!$C$9,$C$609="renew"),IF(AND($C$612&gt;0,O$621&gt;=$C$612),$C$614,$C$616),IF($C$609="retrofit",Inputs!$C$47,IF($C$609="relet",Inputs!$C$53,0)))</f>
        <v>1.45</v>
      </c>
    </row>
    <row r="627" customFormat="false" ht="15" hidden="false" customHeight="false" outlineLevel="0" collapsed="false">
      <c r="B627" s="9" t="s">
        <v>147</v>
      </c>
      <c r="E627" s="21" t="n">
        <f aca="false">IF(OR(E$621&lt;=Inputs!$C$9,$C$609="renew"),1,IF($C$609="retrofit",IF(E$621-Inputs!$C$9=1,0,1),IF($C$609="relet",CHOOSE(MIN(E$621-Inputs!$C$9,3),Inputs!$C$50,Inputs!$C$51,Inputs!$C$52),0)))</f>
        <v>1</v>
      </c>
      <c r="F627" s="21" t="n">
        <f aca="false">IF(OR(F$621&lt;=Inputs!$C$9,$C$609="renew"),1,IF($C$609="retrofit",IF(F$621-Inputs!$C$9=1,0,1),IF($C$609="relet",CHOOSE(MIN(F$621-Inputs!$C$9,3),Inputs!$C$50,Inputs!$C$51,Inputs!$C$52),0)))</f>
        <v>1</v>
      </c>
      <c r="G627" s="21" t="n">
        <f aca="false">IF(OR(G$621&lt;=Inputs!$C$9,$C$609="renew"),1,IF($C$609="retrofit",IF(G$621-Inputs!$C$9=1,0,1),IF($C$609="relet",CHOOSE(MIN(G$621-Inputs!$C$9,3),Inputs!$C$50,Inputs!$C$51,Inputs!$C$52),0)))</f>
        <v>1</v>
      </c>
      <c r="H627" s="21" t="n">
        <f aca="false">IF(OR(H$621&lt;=Inputs!$C$9,$C$609="renew"),1,IF($C$609="retrofit",IF(H$621-Inputs!$C$9=1,0,1),IF($C$609="relet",CHOOSE(MIN(H$621-Inputs!$C$9,3),Inputs!$C$50,Inputs!$C$51,Inputs!$C$52),0)))</f>
        <v>1</v>
      </c>
      <c r="I627" s="21" t="n">
        <f aca="false">IF(OR(I$621&lt;=Inputs!$C$9,$C$609="renew"),1,IF($C$609="retrofit",IF(I$621-Inputs!$C$9=1,0,1),IF($C$609="relet",CHOOSE(MIN(I$621-Inputs!$C$9,3),Inputs!$C$50,Inputs!$C$51,Inputs!$C$52),0)))</f>
        <v>1</v>
      </c>
      <c r="J627" s="21" t="n">
        <f aca="false">IF(OR(J$621&lt;=Inputs!$C$9,$C$609="renew"),1,IF($C$609="retrofit",IF(J$621-Inputs!$C$9=1,0,1),IF($C$609="relet",CHOOSE(MIN(J$621-Inputs!$C$9,3),Inputs!$C$50,Inputs!$C$51,Inputs!$C$52),0)))</f>
        <v>1</v>
      </c>
      <c r="K627" s="21" t="n">
        <f aca="false">IF(OR(K$621&lt;=Inputs!$C$9,$C$609="renew"),1,IF($C$609="retrofit",IF(K$621-Inputs!$C$9=1,0,1),IF($C$609="relet",CHOOSE(MIN(K$621-Inputs!$C$9,3),Inputs!$C$50,Inputs!$C$51,Inputs!$C$52),0)))</f>
        <v>1</v>
      </c>
      <c r="L627" s="21" t="n">
        <f aca="false">IF(OR(L$621&lt;=Inputs!$C$9,$C$609="renew"),1,IF($C$609="retrofit",IF(L$621-Inputs!$C$9=1,0,1),IF($C$609="relet",CHOOSE(MIN(L$621-Inputs!$C$9,3),Inputs!$C$50,Inputs!$C$51,Inputs!$C$52),0)))</f>
        <v>1</v>
      </c>
      <c r="M627" s="21" t="n">
        <f aca="false">IF(OR(M$621&lt;=Inputs!$C$9,$C$609="renew"),1,IF($C$609="retrofit",IF(M$621-Inputs!$C$9=1,0,1),IF($C$609="relet",CHOOSE(MIN(M$621-Inputs!$C$9,3),Inputs!$C$50,Inputs!$C$51,Inputs!$C$52),0)))</f>
        <v>0</v>
      </c>
      <c r="N627" s="21" t="n">
        <f aca="false">IF(OR(N$621&lt;=Inputs!$C$9,$C$609="renew"),1,IF($C$609="retrofit",IF(N$621-Inputs!$C$9=1,0,1),IF($C$609="relet",CHOOSE(MIN(N$621-Inputs!$C$9,3),Inputs!$C$50,Inputs!$C$51,Inputs!$C$52),0)))</f>
        <v>0.55</v>
      </c>
      <c r="O627" s="21" t="n">
        <f aca="false">IF(OR(O$621&lt;=Inputs!$C$9,$C$609="renew"),1,IF($C$609="retrofit",IF(O$621-Inputs!$C$9=1,0,1),IF($C$609="relet",CHOOSE(MIN(O$621-Inputs!$C$9,3),Inputs!$C$50,Inputs!$C$51,Inputs!$C$52),0)))</f>
        <v>0.85</v>
      </c>
    </row>
    <row r="628" customFormat="false" ht="15" hidden="false" customHeight="false" outlineLevel="0" collapsed="false">
      <c r="B628" s="9" t="s">
        <v>148</v>
      </c>
      <c r="E628" s="28" t="n">
        <f aca="false">Inputs!$C$6*1000*E625*E627*8760/1000</f>
        <v>224256</v>
      </c>
      <c r="F628" s="28" t="n">
        <f aca="false">Inputs!$C$6*1000*F625*F627*8760/1000</f>
        <v>224256</v>
      </c>
      <c r="G628" s="28" t="n">
        <f aca="false">Inputs!$C$6*1000*G625*G627*8760/1000</f>
        <v>224256</v>
      </c>
      <c r="H628" s="28" t="n">
        <f aca="false">Inputs!$C$6*1000*H625*H627*8760/1000</f>
        <v>224256</v>
      </c>
      <c r="I628" s="28" t="n">
        <f aca="false">Inputs!$C$6*1000*I625*I627*8760/1000</f>
        <v>224256</v>
      </c>
      <c r="J628" s="28" t="n">
        <f aca="false">Inputs!$C$6*1000*J625*J627*8760/1000</f>
        <v>224256</v>
      </c>
      <c r="K628" s="28" t="n">
        <f aca="false">Inputs!$C$6*1000*K625*K627*8760/1000</f>
        <v>224256</v>
      </c>
      <c r="L628" s="28" t="n">
        <f aca="false">Inputs!$C$6*1000*L625*L627*8760/1000</f>
        <v>224256</v>
      </c>
      <c r="M628" s="28" t="n">
        <f aca="false">Inputs!$C$6*1000*M625*M627*8760/1000</f>
        <v>0</v>
      </c>
      <c r="N628" s="28" t="n">
        <f aca="false">Inputs!$C$6*1000*N625*N627*8760/1000</f>
        <v>123340.8</v>
      </c>
      <c r="O628" s="28" t="n">
        <f aca="false">Inputs!$C$6*1000*O625*O627*8760/1000</f>
        <v>190617.6</v>
      </c>
    </row>
    <row r="629" customFormat="false" ht="15" hidden="false" customHeight="false" outlineLevel="0" collapsed="false">
      <c r="B629" s="9" t="s">
        <v>149</v>
      </c>
      <c r="E629" s="24" t="n">
        <f aca="false">IF(E$621&lt;=Inputs!$C$9,Inputs!$C$6*1000*Inputs!$C$7*12*(1+Inputs!$C$8)^(E$621-1)/1000000,IF($C$609="renew",$C$620*$C$617*(1+Inputs!$C$8)^(E$621-Inputs!$C$9-1),IF($C$609="retrofit",IF(E$621-Inputs!$C$9=1,0,Inputs!$C$6*1000*Inputs!$C$46*12*(1+Inputs!$C$8)^(E$621-Inputs!$C$9-2)/1000000),IF($C$609="relet",Inputs!$C$6*1000*E627*$C$618*12*(1+Inputs!$C$8)^(E$621-Inputs!$C$9-2)/1000000,0))))</f>
        <v>52.992</v>
      </c>
      <c r="F629" s="24" t="n">
        <f aca="false">IF(F$621&lt;=Inputs!$C$9,Inputs!$C$6*1000*Inputs!$C$7*12*(1+Inputs!$C$8)^(F$621-1)/1000000,IF($C$609="renew",$C$620*$C$617*(1+Inputs!$C$8)^(F$621-Inputs!$C$9-1),IF($C$609="retrofit",IF(F$621-Inputs!$C$9=1,0,Inputs!$C$6*1000*Inputs!$C$46*12*(1+Inputs!$C$8)^(F$621-Inputs!$C$9-2)/1000000),IF($C$609="relet",Inputs!$C$6*1000*F627*$C$618*12*(1+Inputs!$C$8)^(F$621-Inputs!$C$9-2)/1000000,0))))</f>
        <v>54.05184</v>
      </c>
      <c r="G629" s="24" t="n">
        <f aca="false">IF(G$621&lt;=Inputs!$C$9,Inputs!$C$6*1000*Inputs!$C$7*12*(1+Inputs!$C$8)^(G$621-1)/1000000,IF($C$609="renew",$C$620*$C$617*(1+Inputs!$C$8)^(G$621-Inputs!$C$9-1),IF($C$609="retrofit",IF(G$621-Inputs!$C$9=1,0,Inputs!$C$6*1000*Inputs!$C$46*12*(1+Inputs!$C$8)^(G$621-Inputs!$C$9-2)/1000000),IF($C$609="relet",Inputs!$C$6*1000*G627*$C$618*12*(1+Inputs!$C$8)^(G$621-Inputs!$C$9-2)/1000000,0))))</f>
        <v>55.1328768</v>
      </c>
      <c r="H629" s="24" t="n">
        <f aca="false">IF(H$621&lt;=Inputs!$C$9,Inputs!$C$6*1000*Inputs!$C$7*12*(1+Inputs!$C$8)^(H$621-1)/1000000,IF($C$609="renew",$C$620*$C$617*(1+Inputs!$C$8)^(H$621-Inputs!$C$9-1),IF($C$609="retrofit",IF(H$621-Inputs!$C$9=1,0,Inputs!$C$6*1000*Inputs!$C$46*12*(1+Inputs!$C$8)^(H$621-Inputs!$C$9-2)/1000000),IF($C$609="relet",Inputs!$C$6*1000*H627*$C$618*12*(1+Inputs!$C$8)^(H$621-Inputs!$C$9-2)/1000000,0))))</f>
        <v>56.235534336</v>
      </c>
      <c r="I629" s="24" t="n">
        <f aca="false">IF(I$621&lt;=Inputs!$C$9,Inputs!$C$6*1000*Inputs!$C$7*12*(1+Inputs!$C$8)^(I$621-1)/1000000,IF($C$609="renew",$C$620*$C$617*(1+Inputs!$C$8)^(I$621-Inputs!$C$9-1),IF($C$609="retrofit",IF(I$621-Inputs!$C$9=1,0,Inputs!$C$6*1000*Inputs!$C$46*12*(1+Inputs!$C$8)^(I$621-Inputs!$C$9-2)/1000000),IF($C$609="relet",Inputs!$C$6*1000*I627*$C$618*12*(1+Inputs!$C$8)^(I$621-Inputs!$C$9-2)/1000000,0))))</f>
        <v>57.36024502272</v>
      </c>
      <c r="J629" s="24" t="n">
        <f aca="false">IF(J$621&lt;=Inputs!$C$9,Inputs!$C$6*1000*Inputs!$C$7*12*(1+Inputs!$C$8)^(J$621-1)/1000000,IF($C$609="renew",$C$620*$C$617*(1+Inputs!$C$8)^(J$621-Inputs!$C$9-1),IF($C$609="retrofit",IF(J$621-Inputs!$C$9=1,0,Inputs!$C$6*1000*Inputs!$C$46*12*(1+Inputs!$C$8)^(J$621-Inputs!$C$9-2)/1000000),IF($C$609="relet",Inputs!$C$6*1000*J627*$C$618*12*(1+Inputs!$C$8)^(J$621-Inputs!$C$9-2)/1000000,0))))</f>
        <v>58.5074499231744</v>
      </c>
      <c r="K629" s="24" t="n">
        <f aca="false">IF(K$621&lt;=Inputs!$C$9,Inputs!$C$6*1000*Inputs!$C$7*12*(1+Inputs!$C$8)^(K$621-1)/1000000,IF($C$609="renew",$C$620*$C$617*(1+Inputs!$C$8)^(K$621-Inputs!$C$9-1),IF($C$609="retrofit",IF(K$621-Inputs!$C$9=1,0,Inputs!$C$6*1000*Inputs!$C$46*12*(1+Inputs!$C$8)^(K$621-Inputs!$C$9-2)/1000000),IF($C$609="relet",Inputs!$C$6*1000*K627*$C$618*12*(1+Inputs!$C$8)^(K$621-Inputs!$C$9-2)/1000000,0))))</f>
        <v>59.6775989216379</v>
      </c>
      <c r="L629" s="24" t="n">
        <f aca="false">IF(L$621&lt;=Inputs!$C$9,Inputs!$C$6*1000*Inputs!$C$7*12*(1+Inputs!$C$8)^(L$621-1)/1000000,IF($C$609="renew",$C$620*$C$617*(1+Inputs!$C$8)^(L$621-Inputs!$C$9-1),IF($C$609="retrofit",IF(L$621-Inputs!$C$9=1,0,Inputs!$C$6*1000*Inputs!$C$46*12*(1+Inputs!$C$8)^(L$621-Inputs!$C$9-2)/1000000),IF($C$609="relet",Inputs!$C$6*1000*L627*$C$618*12*(1+Inputs!$C$8)^(L$621-Inputs!$C$9-2)/1000000,0))))</f>
        <v>60.8711509000706</v>
      </c>
      <c r="M629" s="24" t="n">
        <f aca="false">IF(M$621&lt;=Inputs!$C$9,Inputs!$C$6*1000*Inputs!$C$7*12*(1+Inputs!$C$8)^(M$621-1)/1000000,IF($C$609="renew",$C$620*$C$617*(1+Inputs!$C$8)^(M$621-Inputs!$C$9-1),IF($C$609="retrofit",IF(M$621-Inputs!$C$9=1,0,Inputs!$C$6*1000*Inputs!$C$46*12*(1+Inputs!$C$8)^(M$621-Inputs!$C$9-2)/1000000),IF($C$609="relet",Inputs!$C$6*1000*M627*$C$618*12*(1+Inputs!$C$8)^(M$621-Inputs!$C$9-2)/1000000,0))))</f>
        <v>0</v>
      </c>
      <c r="N629" s="24" t="n">
        <f aca="false">IF(N$621&lt;=Inputs!$C$9,Inputs!$C$6*1000*Inputs!$C$7*12*(1+Inputs!$C$8)^(N$621-1)/1000000,IF($C$609="renew",$C$620*$C$617*(1+Inputs!$C$8)^(N$621-Inputs!$C$9-1),IF($C$609="retrofit",IF(N$621-Inputs!$C$9=1,0,Inputs!$C$6*1000*Inputs!$C$46*12*(1+Inputs!$C$8)^(N$621-Inputs!$C$9-2)/1000000),IF($C$609="relet",Inputs!$C$6*1000*N627*$C$618*12*(1+Inputs!$C$8)^(N$621-Inputs!$C$9-2)/1000000,0))))</f>
        <v>25.344</v>
      </c>
      <c r="O629" s="24" t="n">
        <f aca="false">IF(O$621&lt;=Inputs!$C$9,Inputs!$C$6*1000*Inputs!$C$7*12*(1+Inputs!$C$8)^(O$621-1)/1000000,IF($C$609="renew",$C$620*$C$617*(1+Inputs!$C$8)^(O$621-Inputs!$C$9-1),IF($C$609="retrofit",IF(O$621-Inputs!$C$9=1,0,Inputs!$C$6*1000*Inputs!$C$46*12*(1+Inputs!$C$8)^(O$621-Inputs!$C$9-2)/1000000),IF($C$609="relet",Inputs!$C$6*1000*O627*$C$618*12*(1+Inputs!$C$8)^(O$621-Inputs!$C$9-2)/1000000,0))))</f>
        <v>39.95136</v>
      </c>
    </row>
    <row r="630" customFormat="false" ht="15" hidden="false" customHeight="false" outlineLevel="0" collapsed="false">
      <c r="B630" s="9" t="s">
        <v>150</v>
      </c>
      <c r="E630" s="24" t="n">
        <f aca="false">IF(OR(E$621&lt;=Inputs!$C$9,$C$609="renew"),E628*(Inputs!$C$17*E623-E626*E622)/1000000,E628*E626*Inputs!$C$27/1000000)</f>
        <v>2.4219648</v>
      </c>
      <c r="F630" s="24" t="n">
        <f aca="false">IF(OR(F$621&lt;=Inputs!$C$9,$C$609="renew"),F628*(Inputs!$C$17*F623-F626*F622)/1000000,F628*F626*Inputs!$C$27/1000000)</f>
        <v>2.853433344</v>
      </c>
      <c r="G630" s="24" t="n">
        <f aca="false">IF(OR(G$621&lt;=Inputs!$C$9,$C$609="renew"),G628*(Inputs!$C$17*G623-G626*G622)/1000000,G628*G626*Inputs!$C$27/1000000)</f>
        <v>3.29353125888</v>
      </c>
      <c r="H630" s="24" t="n">
        <f aca="false">IF(OR(H$621&lt;=Inputs!$C$9,$C$609="renew"),H628*(Inputs!$C$17*H623-H626*H622)/1000000,H628*H626*Inputs!$C$27/1000000)</f>
        <v>3.74243113205761</v>
      </c>
      <c r="I630" s="24" t="n">
        <f aca="false">IF(OR(I$621&lt;=Inputs!$C$9,$C$609="renew"),I628*(Inputs!$C$17*I623-I626*I622)/1000000,I628*I626*Inputs!$C$27/1000000)</f>
        <v>2.31655860269875</v>
      </c>
      <c r="J630" s="24" t="n">
        <f aca="false">IF(OR(J$621&lt;=Inputs!$C$9,$C$609="renew"),J628*(Inputs!$C$17*J623-J626*J622)/1000000,J628*J626*Inputs!$C$27/1000000)</f>
        <v>2.25771371075273</v>
      </c>
      <c r="K630" s="24" t="n">
        <f aca="false">IF(OR(K$621&lt;=Inputs!$C$9,$C$609="renew"),K628*(Inputs!$C$17*K623-K626*K622)/1000000,K628*K626*Inputs!$C$27/1000000)</f>
        <v>2.19506251936779</v>
      </c>
      <c r="L630" s="24" t="n">
        <f aca="false">IF(OR(L$621&lt;=Inputs!$C$9,$C$609="renew"),L628*(Inputs!$C$17*L623-L626*L622)/1000000,L628*L626*Inputs!$C$27/1000000)</f>
        <v>2.12846316751515</v>
      </c>
      <c r="M630" s="24" t="n">
        <f aca="false">IF(OR(M$621&lt;=Inputs!$C$9,$C$609="renew"),M628*(Inputs!$C$17*M623-M626*M622)/1000000,M628*M626*Inputs!$C$27/1000000)</f>
        <v>0</v>
      </c>
      <c r="N630" s="24" t="n">
        <f aca="false">IF(OR(N$621&lt;=Inputs!$C$9,$C$609="renew"),N628*(Inputs!$C$17*N623-N626*N622)/1000000,N628*N626*Inputs!$C$27/1000000)</f>
        <v>0.53653248</v>
      </c>
      <c r="O630" s="24" t="n">
        <f aca="false">IF(OR(O$621&lt;=Inputs!$C$9,$C$609="renew"),O628*(Inputs!$C$17*O623-O626*O622)/1000000,O628*O626*Inputs!$C$27/1000000)</f>
        <v>0.82918656</v>
      </c>
    </row>
    <row r="631" customFormat="false" ht="15" hidden="false" customHeight="false" outlineLevel="0" collapsed="false">
      <c r="B631" s="9" t="s">
        <v>151</v>
      </c>
      <c r="E631" s="24" t="n">
        <f aca="false">Inputs!$C$10*E624*IF(OR(E$621&lt;=Inputs!$C$9,$C$609="renew"),1,IF($C$609="retrofit",IF(E$621-Inputs!$C$9=1,Inputs!$C$48,1),IF($C$609="relet",Inputs!$C$54,Inputs!$C$56)))</f>
        <v>4.1</v>
      </c>
      <c r="F631" s="24" t="n">
        <f aca="false">Inputs!$C$10*F624*IF(OR(F$621&lt;=Inputs!$C$9,$C$609="renew"),1,IF($C$609="retrofit",IF(F$621-Inputs!$C$9=1,Inputs!$C$48,1),IF($C$609="relet",Inputs!$C$54,Inputs!$C$56)))</f>
        <v>4.223</v>
      </c>
      <c r="G631" s="24" t="n">
        <f aca="false">Inputs!$C$10*G624*IF(OR(G$621&lt;=Inputs!$C$9,$C$609="renew"),1,IF($C$609="retrofit",IF(G$621-Inputs!$C$9=1,Inputs!$C$48,1),IF($C$609="relet",Inputs!$C$54,Inputs!$C$56)))</f>
        <v>4.34969</v>
      </c>
      <c r="H631" s="24" t="n">
        <f aca="false">Inputs!$C$10*H624*IF(OR(H$621&lt;=Inputs!$C$9,$C$609="renew"),1,IF($C$609="retrofit",IF(H$621-Inputs!$C$9=1,Inputs!$C$48,1),IF($C$609="relet",Inputs!$C$54,Inputs!$C$56)))</f>
        <v>4.4801807</v>
      </c>
      <c r="I631" s="24" t="n">
        <f aca="false">Inputs!$C$10*I624*IF(OR(I$621&lt;=Inputs!$C$9,$C$609="renew"),1,IF($C$609="retrofit",IF(I$621-Inputs!$C$9=1,Inputs!$C$48,1),IF($C$609="relet",Inputs!$C$54,Inputs!$C$56)))</f>
        <v>4.614586121</v>
      </c>
      <c r="J631" s="24" t="n">
        <f aca="false">Inputs!$C$10*J624*IF(OR(J$621&lt;=Inputs!$C$9,$C$609="renew"),1,IF($C$609="retrofit",IF(J$621-Inputs!$C$9=1,Inputs!$C$48,1),IF($C$609="relet",Inputs!$C$54,Inputs!$C$56)))</f>
        <v>4.75302370463</v>
      </c>
      <c r="K631" s="24" t="n">
        <f aca="false">Inputs!$C$10*K624*IF(OR(K$621&lt;=Inputs!$C$9,$C$609="renew"),1,IF($C$609="retrofit",IF(K$621-Inputs!$C$9=1,Inputs!$C$48,1),IF($C$609="relet",Inputs!$C$54,Inputs!$C$56)))</f>
        <v>4.8956144157689</v>
      </c>
      <c r="L631" s="24" t="n">
        <f aca="false">Inputs!$C$10*L624*IF(OR(L$621&lt;=Inputs!$C$9,$C$609="renew"),1,IF($C$609="retrofit",IF(L$621-Inputs!$C$9=1,Inputs!$C$48,1),IF($C$609="relet",Inputs!$C$54,Inputs!$C$56)))</f>
        <v>5.04248284824197</v>
      </c>
      <c r="M631" s="24" t="n">
        <f aca="false">Inputs!$C$10*M624*IF(OR(M$621&lt;=Inputs!$C$9,$C$609="renew"),1,IF($C$609="retrofit",IF(M$621-Inputs!$C$9=1,Inputs!$C$48,1),IF($C$609="relet",Inputs!$C$54,Inputs!$C$56)))</f>
        <v>6.49219666711153</v>
      </c>
      <c r="N631" s="24" t="n">
        <f aca="false">Inputs!$C$10*N624*IF(OR(N$621&lt;=Inputs!$C$9,$C$609="renew"),1,IF($C$609="retrofit",IF(N$621-Inputs!$C$9=1,Inputs!$C$48,1),IF($C$609="relet",Inputs!$C$54,Inputs!$C$56)))</f>
        <v>6.68696256712488</v>
      </c>
      <c r="O631" s="24" t="n">
        <f aca="false">Inputs!$C$10*O624*IF(OR(O$621&lt;=Inputs!$C$9,$C$609="renew"),1,IF($C$609="retrofit",IF(O$621-Inputs!$C$9=1,Inputs!$C$48,1),IF($C$609="relet",Inputs!$C$54,Inputs!$C$56)))</f>
        <v>6.88757144413863</v>
      </c>
    </row>
    <row r="632" customFormat="false" ht="15" hidden="false" customHeight="false" outlineLevel="0" collapsed="false">
      <c r="B632" s="9" t="s">
        <v>152</v>
      </c>
      <c r="E632" s="24" t="n">
        <f aca="false">IF(E$621&gt;=$C$611,Inputs!$C$30*1000*Inputs!$C$34*12*(1+Inputs!$C$8)^(E$621-$C$611)/1000000*IF(AND(E$621=$C$611,$C$611&gt;Inputs!$C$33),1-MIN(12,Inputs!$C$35*($C$611-Inputs!$C$33)*12)/12,1),0)</f>
        <v>0</v>
      </c>
      <c r="F632" s="24" t="n">
        <f aca="false">IF(F$621&gt;=$C$611,Inputs!$C$30*1000*Inputs!$C$34*12*(1+Inputs!$C$8)^(F$621-$C$611)/1000000*IF(AND(F$621=$C$611,$C$611&gt;Inputs!$C$33),1-MIN(12,Inputs!$C$35*($C$611-Inputs!$C$33)*12)/12,1),0)</f>
        <v>0</v>
      </c>
      <c r="G632" s="24" t="n">
        <f aca="false">IF(G$621&gt;=$C$611,Inputs!$C$30*1000*Inputs!$C$34*12*(1+Inputs!$C$8)^(G$621-$C$611)/1000000*IF(AND(G$621=$C$611,$C$611&gt;Inputs!$C$33),1-MIN(12,Inputs!$C$35*($C$611-Inputs!$C$33)*12)/12,1),0)</f>
        <v>29.184</v>
      </c>
      <c r="H632" s="24" t="n">
        <f aca="false">IF(H$621&gt;=$C$611,Inputs!$C$30*1000*Inputs!$C$34*12*(1+Inputs!$C$8)^(H$621-$C$611)/1000000*IF(AND(H$621=$C$611,$C$611&gt;Inputs!$C$33),1-MIN(12,Inputs!$C$35*($C$611-Inputs!$C$33)*12)/12,1),0)</f>
        <v>29.76768</v>
      </c>
      <c r="I632" s="24" t="n">
        <f aca="false">IF(I$621&gt;=$C$611,Inputs!$C$30*1000*Inputs!$C$34*12*(1+Inputs!$C$8)^(I$621-$C$611)/1000000*IF(AND(I$621=$C$611,$C$611&gt;Inputs!$C$33),1-MIN(12,Inputs!$C$35*($C$611-Inputs!$C$33)*12)/12,1),0)</f>
        <v>30.3630336</v>
      </c>
      <c r="J632" s="24" t="n">
        <f aca="false">IF(J$621&gt;=$C$611,Inputs!$C$30*1000*Inputs!$C$34*12*(1+Inputs!$C$8)^(J$621-$C$611)/1000000*IF(AND(J$621=$C$611,$C$611&gt;Inputs!$C$33),1-MIN(12,Inputs!$C$35*($C$611-Inputs!$C$33)*12)/12,1),0)</f>
        <v>30.970294272</v>
      </c>
      <c r="K632" s="24" t="n">
        <f aca="false">IF(K$621&gt;=$C$611,Inputs!$C$30*1000*Inputs!$C$34*12*(1+Inputs!$C$8)^(K$621-$C$611)/1000000*IF(AND(K$621=$C$611,$C$611&gt;Inputs!$C$33),1-MIN(12,Inputs!$C$35*($C$611-Inputs!$C$33)*12)/12,1),0)</f>
        <v>31.58970015744</v>
      </c>
      <c r="L632" s="24" t="n">
        <f aca="false">IF(L$621&gt;=$C$611,Inputs!$C$30*1000*Inputs!$C$34*12*(1+Inputs!$C$8)^(L$621-$C$611)/1000000*IF(AND(L$621=$C$611,$C$611&gt;Inputs!$C$33),1-MIN(12,Inputs!$C$35*($C$611-Inputs!$C$33)*12)/12,1),0)</f>
        <v>32.2214941605888</v>
      </c>
      <c r="M632" s="24" t="n">
        <f aca="false">IF(M$621&gt;=$C$611,Inputs!$C$30*1000*Inputs!$C$34*12*(1+Inputs!$C$8)^(M$621-$C$611)/1000000*IF(AND(M$621=$C$611,$C$611&gt;Inputs!$C$33),1-MIN(12,Inputs!$C$35*($C$611-Inputs!$C$33)*12)/12,1),0)</f>
        <v>32.8659240438006</v>
      </c>
      <c r="N632" s="24" t="n">
        <f aca="false">IF(N$621&gt;=$C$611,Inputs!$C$30*1000*Inputs!$C$34*12*(1+Inputs!$C$8)^(N$621-$C$611)/1000000*IF(AND(N$621=$C$611,$C$611&gt;Inputs!$C$33),1-MIN(12,Inputs!$C$35*($C$611-Inputs!$C$33)*12)/12,1),0)</f>
        <v>33.5232425246766</v>
      </c>
      <c r="O632" s="24" t="n">
        <f aca="false">IF(O$621&gt;=$C$611,Inputs!$C$30*1000*Inputs!$C$34*12*(1+Inputs!$C$8)^(O$621-$C$611)/1000000*IF(AND(O$621=$C$611,$C$611&gt;Inputs!$C$33),1-MIN(12,Inputs!$C$35*($C$611-Inputs!$C$33)*12)/12,1),0)</f>
        <v>34.1937073751701</v>
      </c>
    </row>
    <row r="633" customFormat="false" ht="15" hidden="false" customHeight="false" outlineLevel="0" collapsed="false">
      <c r="B633" s="9" t="s">
        <v>153</v>
      </c>
      <c r="E633" s="28" t="n">
        <f aca="false">IF(E$621&gt;=$C$611,Inputs!$C$30*1000*Inputs!$C$16*8760/1000,0)</f>
        <v>0</v>
      </c>
      <c r="F633" s="28" t="n">
        <f aca="false">IF(F$621&gt;=$C$611,Inputs!$C$30*1000*Inputs!$C$16*8760/1000,0)</f>
        <v>0</v>
      </c>
      <c r="G633" s="28" t="n">
        <f aca="false">IF(G$621&gt;=$C$611,Inputs!$C$30*1000*Inputs!$C$16*8760/1000,0)</f>
        <v>112128</v>
      </c>
      <c r="H633" s="28" t="n">
        <f aca="false">IF(H$621&gt;=$C$611,Inputs!$C$30*1000*Inputs!$C$16*8760/1000,0)</f>
        <v>112128</v>
      </c>
      <c r="I633" s="28" t="n">
        <f aca="false">IF(I$621&gt;=$C$611,Inputs!$C$30*1000*Inputs!$C$16*8760/1000,0)</f>
        <v>112128</v>
      </c>
      <c r="J633" s="28" t="n">
        <f aca="false">IF(J$621&gt;=$C$611,Inputs!$C$30*1000*Inputs!$C$16*8760/1000,0)</f>
        <v>112128</v>
      </c>
      <c r="K633" s="28" t="n">
        <f aca="false">IF(K$621&gt;=$C$611,Inputs!$C$30*1000*Inputs!$C$16*8760/1000,0)</f>
        <v>112128</v>
      </c>
      <c r="L633" s="28" t="n">
        <f aca="false">IF(L$621&gt;=$C$611,Inputs!$C$30*1000*Inputs!$C$16*8760/1000,0)</f>
        <v>112128</v>
      </c>
      <c r="M633" s="28" t="n">
        <f aca="false">IF(M$621&gt;=$C$611,Inputs!$C$30*1000*Inputs!$C$16*8760/1000,0)</f>
        <v>112128</v>
      </c>
      <c r="N633" s="28" t="n">
        <f aca="false">IF(N$621&gt;=$C$611,Inputs!$C$30*1000*Inputs!$C$16*8760/1000,0)</f>
        <v>112128</v>
      </c>
      <c r="O633" s="28" t="n">
        <f aca="false">IF(O$621&gt;=$C$611,Inputs!$C$30*1000*Inputs!$C$16*8760/1000,0)</f>
        <v>112128</v>
      </c>
    </row>
    <row r="634" customFormat="false" ht="15" hidden="false" customHeight="false" outlineLevel="0" collapsed="false">
      <c r="B634" s="9" t="s">
        <v>154</v>
      </c>
      <c r="E634" s="24" t="n">
        <f aca="false">E633*Inputs!$C$37*Inputs!$C$27/1000000</f>
        <v>0</v>
      </c>
      <c r="F634" s="24" t="n">
        <f aca="false">F633*Inputs!$C$37*Inputs!$C$27/1000000</f>
        <v>0</v>
      </c>
      <c r="G634" s="24" t="n">
        <f aca="false">G633*Inputs!$C$37*Inputs!$C$27/1000000</f>
        <v>0.4036608</v>
      </c>
      <c r="H634" s="24" t="n">
        <f aca="false">H633*Inputs!$C$37*Inputs!$C$27/1000000</f>
        <v>0.4036608</v>
      </c>
      <c r="I634" s="24" t="n">
        <f aca="false">I633*Inputs!$C$37*Inputs!$C$27/1000000</f>
        <v>0.4036608</v>
      </c>
      <c r="J634" s="24" t="n">
        <f aca="false">J633*Inputs!$C$37*Inputs!$C$27/1000000</f>
        <v>0.4036608</v>
      </c>
      <c r="K634" s="24" t="n">
        <f aca="false">K633*Inputs!$C$37*Inputs!$C$27/1000000</f>
        <v>0.4036608</v>
      </c>
      <c r="L634" s="24" t="n">
        <f aca="false">L633*Inputs!$C$37*Inputs!$C$27/1000000</f>
        <v>0.4036608</v>
      </c>
      <c r="M634" s="24" t="n">
        <f aca="false">M633*Inputs!$C$37*Inputs!$C$27/1000000</f>
        <v>0.4036608</v>
      </c>
      <c r="N634" s="24" t="n">
        <f aca="false">N633*Inputs!$C$37*Inputs!$C$27/1000000</f>
        <v>0.4036608</v>
      </c>
      <c r="O634" s="24" t="n">
        <f aca="false">O633*Inputs!$C$37*Inputs!$C$27/1000000</f>
        <v>0.4036608</v>
      </c>
    </row>
    <row r="635" customFormat="false" ht="15" hidden="false" customHeight="false" outlineLevel="0" collapsed="false">
      <c r="B635" s="9" t="s">
        <v>155</v>
      </c>
      <c r="E635" s="24" t="n">
        <f aca="false">IF(E$621&gt;=$C$611,Inputs!$C$38*E624,0)</f>
        <v>0</v>
      </c>
      <c r="F635" s="24" t="n">
        <f aca="false">IF(F$621&gt;=$C$611,Inputs!$C$38*F624,0)</f>
        <v>0</v>
      </c>
      <c r="G635" s="24" t="n">
        <f aca="false">IF(G$621&gt;=$C$611,Inputs!$C$38*G624,0)</f>
        <v>1.69744</v>
      </c>
      <c r="H635" s="24" t="n">
        <f aca="false">IF(H$621&gt;=$C$611,Inputs!$C$38*H624,0)</f>
        <v>1.7483632</v>
      </c>
      <c r="I635" s="24" t="n">
        <f aca="false">IF(I$621&gt;=$C$611,Inputs!$C$38*I624,0)</f>
        <v>1.800814096</v>
      </c>
      <c r="J635" s="24" t="n">
        <f aca="false">IF(J$621&gt;=$C$611,Inputs!$C$38*J624,0)</f>
        <v>1.85483851888</v>
      </c>
      <c r="K635" s="24" t="n">
        <f aca="false">IF(K$621&gt;=$C$611,Inputs!$C$38*K624,0)</f>
        <v>1.9104836744464</v>
      </c>
      <c r="L635" s="24" t="n">
        <f aca="false">IF(L$621&gt;=$C$611,Inputs!$C$38*L624,0)</f>
        <v>1.96779818467979</v>
      </c>
      <c r="M635" s="24" t="n">
        <f aca="false">IF(M$621&gt;=$C$611,Inputs!$C$38*M624,0)</f>
        <v>2.02683213022019</v>
      </c>
      <c r="N635" s="24" t="n">
        <f aca="false">IF(N$621&gt;=$C$611,Inputs!$C$38*N624,0)</f>
        <v>2.08763709412679</v>
      </c>
      <c r="O635" s="24" t="n">
        <f aca="false">IF(O$621&gt;=$C$611,Inputs!$C$38*O624,0)</f>
        <v>2.1502662069506</v>
      </c>
    </row>
    <row r="636" customFormat="false" ht="15" hidden="false" customHeight="false" outlineLevel="0" collapsed="false">
      <c r="B636" s="9" t="s">
        <v>156</v>
      </c>
      <c r="E636" s="24" t="n">
        <f aca="false">Inputs!$C$12*(E629+E632)</f>
        <v>0.52992</v>
      </c>
      <c r="F636" s="24" t="n">
        <f aca="false">Inputs!$C$12*(F629+F632)</f>
        <v>0.5405184</v>
      </c>
      <c r="G636" s="24" t="n">
        <f aca="false">Inputs!$C$12*(G629+G632)</f>
        <v>0.843168768</v>
      </c>
      <c r="H636" s="24" t="n">
        <f aca="false">Inputs!$C$12*(H629+H632)</f>
        <v>0.86003214336</v>
      </c>
      <c r="I636" s="24" t="n">
        <f aca="false">Inputs!$C$12*(I629+I632)</f>
        <v>0.8772327862272</v>
      </c>
      <c r="J636" s="24" t="n">
        <f aca="false">Inputs!$C$12*(J629+J632)</f>
        <v>0.894777441951744</v>
      </c>
      <c r="K636" s="24" t="n">
        <f aca="false">Inputs!$C$12*(K629+K632)</f>
        <v>0.912672990790779</v>
      </c>
      <c r="L636" s="24" t="n">
        <f aca="false">Inputs!$C$12*(L629+L632)</f>
        <v>0.930926450606595</v>
      </c>
      <c r="M636" s="24" t="n">
        <f aca="false">Inputs!$C$12*(M629+M632)</f>
        <v>0.328659240438006</v>
      </c>
      <c r="N636" s="24" t="n">
        <f aca="false">Inputs!$C$12*(N629+N632)</f>
        <v>0.588672425246766</v>
      </c>
      <c r="O636" s="24" t="n">
        <f aca="false">Inputs!$C$12*(O629+O632)</f>
        <v>0.741450673751701</v>
      </c>
    </row>
    <row r="637" customFormat="false" ht="15" hidden="false" customHeight="false" outlineLevel="0" collapsed="false">
      <c r="B637" s="29" t="s">
        <v>157</v>
      </c>
      <c r="E637" s="30" t="n">
        <f aca="false">E629+E630+E632+E634-E631-E635-E636</f>
        <v>50.7840448</v>
      </c>
      <c r="F637" s="30" t="n">
        <f aca="false">F629+F630+F632+F634-F631-F635-F636</f>
        <v>52.141754944</v>
      </c>
      <c r="G637" s="30" t="n">
        <f aca="false">G629+G630+G632+G634-G631-G635-G636</f>
        <v>81.12377009088</v>
      </c>
      <c r="H637" s="30" t="n">
        <f aca="false">H629+H630+H632+H634-H631-H635-H636</f>
        <v>83.0607302246976</v>
      </c>
      <c r="I637" s="30" t="n">
        <f aca="false">I629+I630+I632+I634-I631-I635-I636</f>
        <v>83.1508650221916</v>
      </c>
      <c r="J637" s="30" t="n">
        <f aca="false">J629+J630+J632+J634-J631-J635-J636</f>
        <v>84.6364790404654</v>
      </c>
      <c r="K637" s="30" t="n">
        <f aca="false">K629+K630+K632+K634-K631-K635-K636</f>
        <v>86.1472513174396</v>
      </c>
      <c r="L637" s="30" t="n">
        <f aca="false">L629+L630+L632+L634-L631-L635-L636</f>
        <v>87.6835615446462</v>
      </c>
      <c r="M637" s="30" t="n">
        <f aca="false">M629+M630+M632+M634-M631-M635-M636</f>
        <v>24.4218968060308</v>
      </c>
      <c r="N637" s="30" t="n">
        <f aca="false">N629+N630+N632+N634-N631-N635-N636</f>
        <v>50.4441637181782</v>
      </c>
      <c r="O637" s="30" t="n">
        <f aca="false">O629+O630+O632+O634-O631-O635-O636</f>
        <v>65.5986264103292</v>
      </c>
    </row>
    <row r="638" customFormat="false" ht="15" hidden="false" customHeight="false" outlineLevel="0" collapsed="false">
      <c r="B638" s="9" t="s">
        <v>158</v>
      </c>
      <c r="E638" s="24" t="n">
        <f aca="false">Inputs!$C$13*E624*IF(AND($C$609="stranded",E$621&gt;Inputs!$C$9),Inputs!$C$56,1)+IF(E$621&gt;=$C$611,Inputs!$C$39*E624,0)</f>
        <v>1.3</v>
      </c>
      <c r="F638" s="24" t="n">
        <f aca="false">Inputs!$C$13*F624*IF(AND($C$609="stranded",F$621&gt;Inputs!$C$9),Inputs!$C$56,1)+IF(F$621&gt;=$C$611,Inputs!$C$39*F624,0)</f>
        <v>1.339</v>
      </c>
      <c r="G638" s="24" t="n">
        <f aca="false">Inputs!$C$13*G624*IF(AND($C$609="stranded",G$621&gt;Inputs!$C$9),Inputs!$C$56,1)+IF(G$621&gt;=$C$611,Inputs!$C$39*G624,0)</f>
        <v>1.90962</v>
      </c>
      <c r="H638" s="24" t="n">
        <f aca="false">Inputs!$C$13*H624*IF(AND($C$609="stranded",H$621&gt;Inputs!$C$9),Inputs!$C$56,1)+IF(H$621&gt;=$C$611,Inputs!$C$39*H624,0)</f>
        <v>1.9669086</v>
      </c>
      <c r="I638" s="24" t="n">
        <f aca="false">Inputs!$C$13*I624*IF(AND($C$609="stranded",I$621&gt;Inputs!$C$9),Inputs!$C$56,1)+IF(I$621&gt;=$C$611,Inputs!$C$39*I624,0)</f>
        <v>2.025915858</v>
      </c>
      <c r="J638" s="24" t="n">
        <f aca="false">Inputs!$C$13*J624*IF(AND($C$609="stranded",J$621&gt;Inputs!$C$9),Inputs!$C$56,1)+IF(J$621&gt;=$C$611,Inputs!$C$39*J624,0)</f>
        <v>2.08669333374</v>
      </c>
      <c r="K638" s="24" t="n">
        <f aca="false">Inputs!$C$13*K624*IF(AND($C$609="stranded",K$621&gt;Inputs!$C$9),Inputs!$C$56,1)+IF(K$621&gt;=$C$611,Inputs!$C$39*K624,0)</f>
        <v>2.1492941337522</v>
      </c>
      <c r="L638" s="24" t="n">
        <f aca="false">Inputs!$C$13*L624*IF(AND($C$609="stranded",L$621&gt;Inputs!$C$9),Inputs!$C$56,1)+IF(L$621&gt;=$C$611,Inputs!$C$39*L624,0)</f>
        <v>2.21377295776477</v>
      </c>
      <c r="M638" s="24" t="n">
        <f aca="false">Inputs!$C$13*M624*IF(AND($C$609="stranded",M$621&gt;Inputs!$C$9),Inputs!$C$56,1)+IF(M$621&gt;=$C$611,Inputs!$C$39*M624,0)</f>
        <v>2.28018614649771</v>
      </c>
      <c r="N638" s="24" t="n">
        <f aca="false">Inputs!$C$13*N624*IF(AND($C$609="stranded",N$621&gt;Inputs!$C$9),Inputs!$C$56,1)+IF(N$621&gt;=$C$611,Inputs!$C$39*N624,0)</f>
        <v>2.34859173089264</v>
      </c>
      <c r="O638" s="24" t="n">
        <f aca="false">Inputs!$C$13*O624*IF(AND($C$609="stranded",O$621&gt;Inputs!$C$9),Inputs!$C$56,1)+IF(O$621&gt;=$C$611,Inputs!$C$39*O624,0)</f>
        <v>2.41904948281942</v>
      </c>
    </row>
    <row r="639" customFormat="false" ht="15" hidden="false" customHeight="false" outlineLevel="0" collapsed="false">
      <c r="B639" s="9" t="s">
        <v>159</v>
      </c>
      <c r="E639" s="24" t="n">
        <f aca="false">IF(OR(E$621=1,E$621=2),Inputs!$C$31*Inputs!$C$30/2,0)+IF(AND(E$621=2,$C$611&gt;Inputs!$C$33),Inputs!$C$31*Inputs!$C$30*Inputs!$C$36*($C$611-Inputs!$C$33),0)</f>
        <v>84</v>
      </c>
      <c r="F639" s="24" t="n">
        <f aca="false">IF(OR(F$621=1,F$621=2),Inputs!$C$31*Inputs!$C$30/2,0)+IF(AND(F$621=2,$C$611&gt;Inputs!$C$33),Inputs!$C$31*Inputs!$C$30*Inputs!$C$36*($C$611-Inputs!$C$33),0)</f>
        <v>84</v>
      </c>
      <c r="G639" s="24" t="n">
        <f aca="false">IF(OR(G$621=1,G$621=2),Inputs!$C$31*Inputs!$C$30/2,0)+IF(AND(G$621=2,$C$611&gt;Inputs!$C$33),Inputs!$C$31*Inputs!$C$30*Inputs!$C$36*($C$611-Inputs!$C$33),0)</f>
        <v>0</v>
      </c>
      <c r="H639" s="24" t="n">
        <f aca="false">IF(OR(H$621=1,H$621=2),Inputs!$C$31*Inputs!$C$30/2,0)+IF(AND(H$621=2,$C$611&gt;Inputs!$C$33),Inputs!$C$31*Inputs!$C$30*Inputs!$C$36*($C$611-Inputs!$C$33),0)</f>
        <v>0</v>
      </c>
      <c r="I639" s="24" t="n">
        <f aca="false">IF(OR(I$621=1,I$621=2),Inputs!$C$31*Inputs!$C$30/2,0)+IF(AND(I$621=2,$C$611&gt;Inputs!$C$33),Inputs!$C$31*Inputs!$C$30*Inputs!$C$36*($C$611-Inputs!$C$33),0)</f>
        <v>0</v>
      </c>
      <c r="J639" s="24" t="n">
        <f aca="false">IF(OR(J$621=1,J$621=2),Inputs!$C$31*Inputs!$C$30/2,0)+IF(AND(J$621=2,$C$611&gt;Inputs!$C$33),Inputs!$C$31*Inputs!$C$30*Inputs!$C$36*($C$611-Inputs!$C$33),0)</f>
        <v>0</v>
      </c>
      <c r="K639" s="24" t="n">
        <f aca="false">IF(OR(K$621=1,K$621=2),Inputs!$C$31*Inputs!$C$30/2,0)+IF(AND(K$621=2,$C$611&gt;Inputs!$C$33),Inputs!$C$31*Inputs!$C$30*Inputs!$C$36*($C$611-Inputs!$C$33),0)</f>
        <v>0</v>
      </c>
      <c r="L639" s="24" t="n">
        <f aca="false">IF(OR(L$621=1,L$621=2),Inputs!$C$31*Inputs!$C$30/2,0)+IF(AND(L$621=2,$C$611&gt;Inputs!$C$33),Inputs!$C$31*Inputs!$C$30*Inputs!$C$36*($C$611-Inputs!$C$33),0)</f>
        <v>0</v>
      </c>
      <c r="M639" s="24" t="n">
        <f aca="false">IF(OR(M$621=1,M$621=2),Inputs!$C$31*Inputs!$C$30/2,0)+IF(AND(M$621=2,$C$611&gt;Inputs!$C$33),Inputs!$C$31*Inputs!$C$30*Inputs!$C$36*($C$611-Inputs!$C$33),0)</f>
        <v>0</v>
      </c>
      <c r="N639" s="24" t="n">
        <f aca="false">IF(OR(N$621=1,N$621=2),Inputs!$C$31*Inputs!$C$30/2,0)+IF(AND(N$621=2,$C$611&gt;Inputs!$C$33),Inputs!$C$31*Inputs!$C$30*Inputs!$C$36*($C$611-Inputs!$C$33),0)</f>
        <v>0</v>
      </c>
      <c r="O639" s="24" t="n">
        <f aca="false">IF(OR(O$621=1,O$621=2),Inputs!$C$31*Inputs!$C$30/2,0)+IF(AND(O$621=2,$C$611&gt;Inputs!$C$33),Inputs!$C$31*Inputs!$C$30*Inputs!$C$36*($C$611-Inputs!$C$33),0)</f>
        <v>0</v>
      </c>
    </row>
    <row r="640" customFormat="false" ht="15" hidden="false" customHeight="false" outlineLevel="0" collapsed="false">
      <c r="B640" s="9" t="s">
        <v>160</v>
      </c>
      <c r="E640" s="24" t="n">
        <f aca="false">IF(E$621=Inputs!$C$9+1,Inputs!$C$6*IF($C$609="renew",Inputs!$C$44,IF($C$609="retrofit",Inputs!$C$45,IF($C$609="relet",Inputs!$C$55,0))),0)</f>
        <v>0</v>
      </c>
      <c r="F640" s="24" t="n">
        <f aca="false">IF(F$621=Inputs!$C$9+1,Inputs!$C$6*IF($C$609="renew",Inputs!$C$44,IF($C$609="retrofit",Inputs!$C$45,IF($C$609="relet",Inputs!$C$55,0))),0)</f>
        <v>0</v>
      </c>
      <c r="G640" s="24" t="n">
        <f aca="false">IF(G$621=Inputs!$C$9+1,Inputs!$C$6*IF($C$609="renew",Inputs!$C$44,IF($C$609="retrofit",Inputs!$C$45,IF($C$609="relet",Inputs!$C$55,0))),0)</f>
        <v>0</v>
      </c>
      <c r="H640" s="24" t="n">
        <f aca="false">IF(H$621=Inputs!$C$9+1,Inputs!$C$6*IF($C$609="renew",Inputs!$C$44,IF($C$609="retrofit",Inputs!$C$45,IF($C$609="relet",Inputs!$C$55,0))),0)</f>
        <v>0</v>
      </c>
      <c r="I640" s="24" t="n">
        <f aca="false">IF(I$621=Inputs!$C$9+1,Inputs!$C$6*IF($C$609="renew",Inputs!$C$44,IF($C$609="retrofit",Inputs!$C$45,IF($C$609="relet",Inputs!$C$55,0))),0)</f>
        <v>0</v>
      </c>
      <c r="J640" s="24" t="n">
        <f aca="false">IF(J$621=Inputs!$C$9+1,Inputs!$C$6*IF($C$609="renew",Inputs!$C$44,IF($C$609="retrofit",Inputs!$C$45,IF($C$609="relet",Inputs!$C$55,0))),0)</f>
        <v>0</v>
      </c>
      <c r="K640" s="24" t="n">
        <f aca="false">IF(K$621=Inputs!$C$9+1,Inputs!$C$6*IF($C$609="renew",Inputs!$C$44,IF($C$609="retrofit",Inputs!$C$45,IF($C$609="relet",Inputs!$C$55,0))),0)</f>
        <v>0</v>
      </c>
      <c r="L640" s="24" t="n">
        <f aca="false">IF(L$621=Inputs!$C$9+1,Inputs!$C$6*IF($C$609="renew",Inputs!$C$44,IF($C$609="retrofit",Inputs!$C$45,IF($C$609="relet",Inputs!$C$55,0))),0)</f>
        <v>0</v>
      </c>
      <c r="M640" s="24" t="n">
        <f aca="false">IF(M$621=Inputs!$C$9+1,Inputs!$C$6*IF($C$609="renew",Inputs!$C$44,IF($C$609="retrofit",Inputs!$C$45,IF($C$609="relet",Inputs!$C$55,0))),0)</f>
        <v>25.6</v>
      </c>
      <c r="N640" s="24" t="n">
        <f aca="false">IF(N$621=Inputs!$C$9+1,Inputs!$C$6*IF($C$609="renew",Inputs!$C$44,IF($C$609="retrofit",Inputs!$C$45,IF($C$609="relet",Inputs!$C$55,0))),0)</f>
        <v>0</v>
      </c>
      <c r="O640" s="24" t="n">
        <f aca="false">IF(O$621=Inputs!$C$9+1,Inputs!$C$6*IF($C$609="renew",Inputs!$C$44,IF($C$609="retrofit",Inputs!$C$45,IF($C$609="relet",Inputs!$C$55,0))),0)</f>
        <v>0</v>
      </c>
    </row>
    <row r="641" customFormat="false" ht="15" hidden="false" customHeight="false" outlineLevel="0" collapsed="false">
      <c r="B641" s="29" t="s">
        <v>161</v>
      </c>
      <c r="E641" s="30" t="n">
        <f aca="false">E637-E638-E639-E640</f>
        <v>-34.5159552</v>
      </c>
      <c r="F641" s="30" t="n">
        <f aca="false">F637-F638-F639-F640</f>
        <v>-33.197245056</v>
      </c>
      <c r="G641" s="30" t="n">
        <f aca="false">G637-G638-G639-G640</f>
        <v>79.21415009088</v>
      </c>
      <c r="H641" s="30" t="n">
        <f aca="false">H637-H638-H639-H640</f>
        <v>81.0938216246976</v>
      </c>
      <c r="I641" s="30" t="n">
        <f aca="false">I637-I638-I639-I640</f>
        <v>81.1249491641916</v>
      </c>
      <c r="J641" s="30" t="n">
        <f aca="false">J637-J638-J639-J640</f>
        <v>82.5497857067254</v>
      </c>
      <c r="K641" s="30" t="n">
        <f aca="false">K637-K638-K639-K640</f>
        <v>83.9979571836874</v>
      </c>
      <c r="L641" s="30" t="n">
        <f aca="false">L637-L638-L639-L640</f>
        <v>85.4697885868815</v>
      </c>
      <c r="M641" s="30" t="n">
        <f aca="false">M637-M638-M639-M640</f>
        <v>-3.45828934046687</v>
      </c>
      <c r="N641" s="30" t="n">
        <f aca="false">N637-N638-N639-N640</f>
        <v>48.0955719872855</v>
      </c>
      <c r="O641" s="30" t="n">
        <f aca="false">O637-O638-O639-O640</f>
        <v>63.1795769275098</v>
      </c>
    </row>
    <row r="642" customFormat="false" ht="15" hidden="false" customHeight="false" outlineLevel="0" collapsed="false">
      <c r="B642" s="6" t="s">
        <v>162</v>
      </c>
    </row>
    <row r="644" customFormat="false" ht="15" hidden="false" customHeight="false" outlineLevel="0" collapsed="false">
      <c r="B644" s="9" t="s">
        <v>163</v>
      </c>
      <c r="C644" s="23" t="n">
        <f aca="false">IF($C$609="renew",Inputs!$C$67,IF($C$609="retrofit",Inputs!$C$68,IF($C$609="relet",Inputs!$C$69,Inputs!$C$70)))+$C$615</f>
        <v>0.0725</v>
      </c>
    </row>
    <row r="645" customFormat="false" ht="15" hidden="false" customHeight="false" outlineLevel="0" collapsed="false">
      <c r="B645" s="9" t="s">
        <v>164</v>
      </c>
      <c r="C645" s="24" t="n">
        <f aca="false">O632+O634-O635-Inputs!$C$12*O632</f>
        <v>32.1051648944678</v>
      </c>
    </row>
    <row r="646" customFormat="false" ht="15" hidden="false" customHeight="false" outlineLevel="0" collapsed="false">
      <c r="B646" s="9" t="s">
        <v>165</v>
      </c>
      <c r="C646" s="24" t="n">
        <f aca="false">O637-$C$645</f>
        <v>33.4934615158614</v>
      </c>
    </row>
    <row r="647" customFormat="false" ht="15" hidden="false" customHeight="false" outlineLevel="0" collapsed="false">
      <c r="B647" s="9" t="s">
        <v>166</v>
      </c>
      <c r="C647" s="24" t="n">
        <f aca="false">IF($C$609="stranded",Inputs!$C$57*Inputs!$C$6-Inputs!$C$58,0)</f>
        <v>0</v>
      </c>
    </row>
    <row r="648" customFormat="false" ht="15" hidden="false" customHeight="false" outlineLevel="0" collapsed="false">
      <c r="B648" s="9" t="s">
        <v>167</v>
      </c>
      <c r="C648" s="24" t="n">
        <f aca="false">($C$645+$C$646)/$C$644+$C$647</f>
        <v>904.808640142472</v>
      </c>
    </row>
    <row r="649" customFormat="false" ht="15" hidden="false" customHeight="false" outlineLevel="0" collapsed="false">
      <c r="B649" s="29" t="s">
        <v>168</v>
      </c>
      <c r="C649" s="30" t="n">
        <f aca="false">$C$648*(1-Inputs!$C$66)</f>
        <v>891.236510540335</v>
      </c>
    </row>
    <row r="650" customFormat="false" ht="15" hidden="false" customHeight="false" outlineLevel="0" collapsed="false">
      <c r="B650" s="9" t="s">
        <v>169</v>
      </c>
      <c r="C650" s="24" t="n">
        <f aca="false">$C$619*(1+Inputs!$C$65)</f>
        <v>665.458536574428</v>
      </c>
    </row>
    <row r="652" customFormat="false" ht="15" hidden="false" customHeight="false" outlineLevel="0" collapsed="false">
      <c r="B652" s="25" t="s">
        <v>170</v>
      </c>
      <c r="C652" s="26"/>
      <c r="D652" s="26" t="n">
        <v>0</v>
      </c>
      <c r="E652" s="26" t="n">
        <v>1</v>
      </c>
      <c r="F652" s="26" t="n">
        <v>2</v>
      </c>
      <c r="G652" s="26" t="n">
        <v>3</v>
      </c>
      <c r="H652" s="26" t="n">
        <v>4</v>
      </c>
      <c r="I652" s="26" t="n">
        <v>5</v>
      </c>
      <c r="J652" s="26" t="n">
        <v>6</v>
      </c>
      <c r="K652" s="26" t="n">
        <v>7</v>
      </c>
      <c r="L652" s="26" t="n">
        <v>8</v>
      </c>
      <c r="M652" s="26" t="n">
        <v>9</v>
      </c>
      <c r="N652" s="26" t="n">
        <v>10</v>
      </c>
    </row>
    <row r="653" customFormat="false" ht="15" hidden="false" customHeight="false" outlineLevel="0" collapsed="false">
      <c r="B653" s="29" t="s">
        <v>171</v>
      </c>
      <c r="D653" s="30" t="n">
        <f aca="false">-$C$650</f>
        <v>-665.458536574428</v>
      </c>
      <c r="E653" s="30" t="n">
        <f aca="false">E641</f>
        <v>-34.5159552</v>
      </c>
      <c r="F653" s="30" t="n">
        <f aca="false">F641</f>
        <v>-33.197245056</v>
      </c>
      <c r="G653" s="30" t="n">
        <f aca="false">G641</f>
        <v>79.21415009088</v>
      </c>
      <c r="H653" s="30" t="n">
        <f aca="false">H641</f>
        <v>81.0938216246976</v>
      </c>
      <c r="I653" s="30" t="n">
        <f aca="false">I641</f>
        <v>81.1249491641916</v>
      </c>
      <c r="J653" s="30" t="n">
        <f aca="false">J641</f>
        <v>82.5497857067254</v>
      </c>
      <c r="K653" s="30" t="n">
        <f aca="false">K641</f>
        <v>83.9979571836874</v>
      </c>
      <c r="L653" s="30" t="n">
        <f aca="false">L641</f>
        <v>85.4697885868815</v>
      </c>
      <c r="M653" s="30" t="n">
        <f aca="false">M641</f>
        <v>-3.45828934046687</v>
      </c>
      <c r="N653" s="30" t="n">
        <f aca="false">N641+$C$649</f>
        <v>939.33208252762</v>
      </c>
    </row>
    <row r="654" customFormat="false" ht="15" hidden="false" customHeight="false" outlineLevel="0" collapsed="false">
      <c r="B654" s="29" t="s">
        <v>172</v>
      </c>
      <c r="C654" s="31" t="n">
        <f aca="false">IRR(D653:N653,0.08)</f>
        <v>0.0860191910349273</v>
      </c>
    </row>
    <row r="656" customFormat="false" ht="15" hidden="false" customHeight="false" outlineLevel="0" collapsed="false">
      <c r="B656" s="9" t="s">
        <v>180</v>
      </c>
      <c r="C656" s="24" t="n">
        <f aca="false">Inputs!$C$77*$C$619</f>
        <v>358.825681486211</v>
      </c>
    </row>
    <row r="657" customFormat="false" ht="15" hidden="false" customHeight="false" outlineLevel="0" collapsed="false">
      <c r="B657" s="9" t="s">
        <v>181</v>
      </c>
      <c r="C657" s="24" t="n">
        <f aca="false">$C$656*Inputs!$C$78/(1-(1+Inputs!$C$78)^(-Inputs!$C$80))</f>
        <v>28.069755472949</v>
      </c>
    </row>
    <row r="658" customFormat="false" ht="15" hidden="false" customHeight="false" outlineLevel="0" collapsed="false">
      <c r="B658" s="9" t="s">
        <v>182</v>
      </c>
      <c r="C658" s="24" t="n">
        <f aca="false">$C$656*(1+Inputs!$C$78)^(Inputs!$C$81-Inputs!$C$79)-$C$657*((1+Inputs!$C$78)^(Inputs!$C$81-Inputs!$C$79)-1)/Inputs!$C$78</f>
        <v>321.957883899116</v>
      </c>
    </row>
    <row r="659" customFormat="false" ht="15" hidden="false" customHeight="false" outlineLevel="0" collapsed="false">
      <c r="B659" s="9" t="s">
        <v>183</v>
      </c>
      <c r="C659" s="20" t="n">
        <f aca="false">IF($C$609="renew",1,0)</f>
        <v>0</v>
      </c>
    </row>
    <row r="660" customFormat="false" ht="15" hidden="false" customHeight="false" outlineLevel="0" collapsed="false">
      <c r="B660" s="9" t="s">
        <v>184</v>
      </c>
      <c r="C660" s="20" t="n">
        <f aca="false">IF($C$659=1,Inputs!$C$86,Inputs!$C$87)</f>
        <v>7</v>
      </c>
    </row>
    <row r="661" customFormat="false" ht="15" hidden="false" customHeight="false" outlineLevel="0" collapsed="false">
      <c r="B661" s="9" t="s">
        <v>185</v>
      </c>
      <c r="C661" s="24" t="n">
        <f aca="false">IF($C$659=1,INDEX($E$637:$O$637,(Inputs!$C$81+1))-INDEX($E$638:$O$638,(Inputs!$C$81+1)),INDEX($E$632:$O$632,(Inputs!$C$81+1))+INDEX($E$634:$O$634,(Inputs!$C$81+1))-INDEX($E$635:$O$635,(Inputs!$C$81+1))-Inputs!$C$12*INDEX($E$632:$O$632,(Inputs!$C$81+1))-Inputs!$C$39*(1+Inputs!$C$11)^((Inputs!$C$81+1)-1))</f>
        <v>29.7202049015907</v>
      </c>
    </row>
    <row r="662" customFormat="false" ht="15" hidden="false" customHeight="false" outlineLevel="0" collapsed="false">
      <c r="B662" s="9" t="s">
        <v>186</v>
      </c>
      <c r="C662" s="24" t="n">
        <f aca="false">$C$661/Inputs!$C$84</f>
        <v>21.2287177868505</v>
      </c>
    </row>
    <row r="663" customFormat="false" ht="15" hidden="false" customHeight="false" outlineLevel="0" collapsed="false">
      <c r="B663" s="9" t="s">
        <v>187</v>
      </c>
      <c r="C663" s="24" t="n">
        <f aca="false">$C$662*(1-(1+Inputs!$C$83)^(-$C$660))/Inputs!$C$83</f>
        <v>116.429322431369</v>
      </c>
    </row>
    <row r="664" customFormat="false" ht="15" hidden="false" customHeight="false" outlineLevel="0" collapsed="false">
      <c r="B664" s="9" t="s">
        <v>188</v>
      </c>
      <c r="C664" s="24" t="n">
        <f aca="false">$C$661/$C$644</f>
        <v>409.933860711596</v>
      </c>
    </row>
    <row r="665" customFormat="false" ht="15" hidden="false" customHeight="false" outlineLevel="0" collapsed="false">
      <c r="B665" s="9" t="s">
        <v>189</v>
      </c>
      <c r="C665" s="24" t="n">
        <f aca="false">Inputs!$C$85*$C$664</f>
        <v>225.463623391378</v>
      </c>
    </row>
    <row r="666" customFormat="false" ht="15" hidden="false" customHeight="false" outlineLevel="0" collapsed="false">
      <c r="B666" s="29" t="s">
        <v>190</v>
      </c>
      <c r="C666" s="30" t="n">
        <f aca="false">MIN($C$663,$C$665)</f>
        <v>116.429322431369</v>
      </c>
    </row>
    <row r="667" customFormat="false" ht="15" hidden="false" customHeight="false" outlineLevel="0" collapsed="false">
      <c r="B667" s="29" t="s">
        <v>191</v>
      </c>
      <c r="C667" s="30" t="n">
        <f aca="false">$C$666*(1-Inputs!$C$82)-$C$658</f>
        <v>-206.692854692061</v>
      </c>
    </row>
    <row r="668" customFormat="false" ht="15" hidden="false" customHeight="false" outlineLevel="0" collapsed="false">
      <c r="B668" s="9" t="s">
        <v>192</v>
      </c>
      <c r="C668" s="24" t="n">
        <f aca="false">$C$666*Inputs!$C$83/(1-(1+Inputs!$C$83)^(-$C$660))</f>
        <v>21.2287177868505</v>
      </c>
    </row>
    <row r="670" customFormat="false" ht="15" hidden="false" customHeight="false" outlineLevel="0" collapsed="false">
      <c r="B670" s="25" t="s">
        <v>193</v>
      </c>
      <c r="C670" s="26"/>
      <c r="D670" s="26" t="n">
        <v>0</v>
      </c>
      <c r="E670" s="26" t="n">
        <v>1</v>
      </c>
      <c r="F670" s="26" t="n">
        <v>2</v>
      </c>
      <c r="G670" s="26" t="n">
        <v>3</v>
      </c>
      <c r="H670" s="26" t="n">
        <v>4</v>
      </c>
      <c r="I670" s="26" t="n">
        <v>5</v>
      </c>
      <c r="J670" s="26" t="n">
        <v>6</v>
      </c>
      <c r="K670" s="26" t="n">
        <v>7</v>
      </c>
      <c r="L670" s="26" t="n">
        <v>8</v>
      </c>
      <c r="M670" s="26" t="n">
        <v>9</v>
      </c>
      <c r="N670" s="26" t="n">
        <v>10</v>
      </c>
    </row>
    <row r="671" customFormat="false" ht="15" hidden="false" customHeight="false" outlineLevel="0" collapsed="false">
      <c r="B671" s="9" t="s">
        <v>194</v>
      </c>
      <c r="E671" s="24" t="n">
        <f aca="false">$C$656</f>
        <v>358.825681486211</v>
      </c>
      <c r="F671" s="24" t="n">
        <f aca="false">IF(F$670=Inputs!$C$81+1,$C$666,E675)</f>
        <v>358.825681486211</v>
      </c>
      <c r="G671" s="24" t="n">
        <f aca="false">IF(G$670=Inputs!$C$81+1,$C$666,F675)</f>
        <v>358.825681486211</v>
      </c>
      <c r="H671" s="24" t="n">
        <f aca="false">IF(H$670=Inputs!$C$81+1,$C$666,G675)</f>
        <v>352.285466902435</v>
      </c>
      <c r="I671" s="24" t="n">
        <f aca="false">IF(I$670=Inputs!$C$81+1,$C$666,H675)</f>
        <v>345.352839443632</v>
      </c>
      <c r="J671" s="24" t="n">
        <f aca="false">IF(J$670=Inputs!$C$81+1,$C$666,I675)</f>
        <v>338.004254337301</v>
      </c>
      <c r="K671" s="24" t="n">
        <f aca="false">IF(K$670=Inputs!$C$81+1,$C$666,J675)</f>
        <v>330.21475412459</v>
      </c>
      <c r="L671" s="24" t="n">
        <f aca="false">IF(L$670=Inputs!$C$81+1,$C$666,K675)</f>
        <v>116.429322431369</v>
      </c>
      <c r="M671" s="24" t="n">
        <f aca="false">IF(M$670=Inputs!$C$81+1,$C$666,L675)</f>
        <v>102.768510602558</v>
      </c>
      <c r="N671" s="24" t="n">
        <f aca="false">IF(N$670=Inputs!$C$81+1,$C$666,M675)</f>
        <v>88.2197460048735</v>
      </c>
    </row>
    <row r="672" customFormat="false" ht="15" hidden="false" customHeight="false" outlineLevel="0" collapsed="false">
      <c r="B672" s="9" t="s">
        <v>195</v>
      </c>
      <c r="E672" s="23" t="n">
        <f aca="false">IF(E$670&lt;=Inputs!$C$81,Inputs!$C$78,Inputs!$C$83)</f>
        <v>0.06</v>
      </c>
      <c r="F672" s="23" t="n">
        <f aca="false">IF(F$670&lt;=Inputs!$C$81,Inputs!$C$78,Inputs!$C$83)</f>
        <v>0.06</v>
      </c>
      <c r="G672" s="23" t="n">
        <f aca="false">IF(G$670&lt;=Inputs!$C$81,Inputs!$C$78,Inputs!$C$83)</f>
        <v>0.06</v>
      </c>
      <c r="H672" s="23" t="n">
        <f aca="false">IF(H$670&lt;=Inputs!$C$81,Inputs!$C$78,Inputs!$C$83)</f>
        <v>0.06</v>
      </c>
      <c r="I672" s="23" t="n">
        <f aca="false">IF(I$670&lt;=Inputs!$C$81,Inputs!$C$78,Inputs!$C$83)</f>
        <v>0.06</v>
      </c>
      <c r="J672" s="23" t="n">
        <f aca="false">IF(J$670&lt;=Inputs!$C$81,Inputs!$C$78,Inputs!$C$83)</f>
        <v>0.06</v>
      </c>
      <c r="K672" s="23" t="n">
        <f aca="false">IF(K$670&lt;=Inputs!$C$81,Inputs!$C$78,Inputs!$C$83)</f>
        <v>0.06</v>
      </c>
      <c r="L672" s="23" t="n">
        <f aca="false">IF(L$670&lt;=Inputs!$C$81,Inputs!$C$78,Inputs!$C$83)</f>
        <v>0.065</v>
      </c>
      <c r="M672" s="23" t="n">
        <f aca="false">IF(M$670&lt;=Inputs!$C$81,Inputs!$C$78,Inputs!$C$83)</f>
        <v>0.065</v>
      </c>
      <c r="N672" s="23" t="n">
        <f aca="false">IF(N$670&lt;=Inputs!$C$81,Inputs!$C$78,Inputs!$C$83)</f>
        <v>0.065</v>
      </c>
    </row>
    <row r="673" customFormat="false" ht="15" hidden="false" customHeight="false" outlineLevel="0" collapsed="false">
      <c r="B673" s="9" t="s">
        <v>196</v>
      </c>
      <c r="E673" s="24" t="n">
        <f aca="false">E671*E672</f>
        <v>21.5295408891727</v>
      </c>
      <c r="F673" s="24" t="n">
        <f aca="false">F671*F672</f>
        <v>21.5295408891727</v>
      </c>
      <c r="G673" s="24" t="n">
        <f aca="false">G671*G672</f>
        <v>21.5295408891727</v>
      </c>
      <c r="H673" s="24" t="n">
        <f aca="false">H671*H672</f>
        <v>21.1371280141461</v>
      </c>
      <c r="I673" s="24" t="n">
        <f aca="false">I671*I672</f>
        <v>20.7211703666179</v>
      </c>
      <c r="J673" s="24" t="n">
        <f aca="false">J671*J672</f>
        <v>20.280255260238</v>
      </c>
      <c r="K673" s="24" t="n">
        <f aca="false">K671*K672</f>
        <v>19.8128852474754</v>
      </c>
      <c r="L673" s="24" t="n">
        <f aca="false">L671*L672</f>
        <v>7.567905958039</v>
      </c>
      <c r="M673" s="24" t="n">
        <f aca="false">M671*M672</f>
        <v>6.67995318916626</v>
      </c>
      <c r="N673" s="24" t="n">
        <f aca="false">N671*N672</f>
        <v>5.73428349031678</v>
      </c>
    </row>
    <row r="674" customFormat="false" ht="15" hidden="false" customHeight="false" outlineLevel="0" collapsed="false">
      <c r="B674" s="9" t="s">
        <v>197</v>
      </c>
      <c r="E674" s="24" t="n">
        <f aca="false">IF(E$670&lt;=Inputs!$C$81,IF(E$670&lt;=Inputs!$C$79,0,$C$657-E673),$C$668-E673)</f>
        <v>0</v>
      </c>
      <c r="F674" s="24" t="n">
        <f aca="false">IF(F$670&lt;=Inputs!$C$81,IF(F$670&lt;=Inputs!$C$79,0,$C$657-F673),$C$668-F673)</f>
        <v>0</v>
      </c>
      <c r="G674" s="24" t="n">
        <f aca="false">IF(G$670&lt;=Inputs!$C$81,IF(G$670&lt;=Inputs!$C$79,0,$C$657-G673),$C$668-G673)</f>
        <v>6.54021458377634</v>
      </c>
      <c r="H674" s="24" t="n">
        <f aca="false">IF(H$670&lt;=Inputs!$C$81,IF(H$670&lt;=Inputs!$C$79,0,$C$657-H673),$C$668-H673)</f>
        <v>6.93262745880292</v>
      </c>
      <c r="I674" s="24" t="n">
        <f aca="false">IF(I$670&lt;=Inputs!$C$81,IF(I$670&lt;=Inputs!$C$79,0,$C$657-I673),$C$668-I673)</f>
        <v>7.34858510633109</v>
      </c>
      <c r="J674" s="24" t="n">
        <f aca="false">IF(J$670&lt;=Inputs!$C$81,IF(J$670&lt;=Inputs!$C$79,0,$C$657-J673),$C$668-J673)</f>
        <v>7.78950021271096</v>
      </c>
      <c r="K674" s="24" t="n">
        <f aca="false">IF(K$670&lt;=Inputs!$C$81,IF(K$670&lt;=Inputs!$C$79,0,$C$657-K673),$C$668-K673)</f>
        <v>8.25687022547361</v>
      </c>
      <c r="L674" s="24" t="n">
        <f aca="false">IF(L$670&lt;=Inputs!$C$81,IF(L$670&lt;=Inputs!$C$79,0,$C$657-L673),$C$668-L673)</f>
        <v>13.6608118288115</v>
      </c>
      <c r="M674" s="24" t="n">
        <f aca="false">IF(M$670&lt;=Inputs!$C$81,IF(M$670&lt;=Inputs!$C$79,0,$C$657-M673),$C$668-M673)</f>
        <v>14.5487645976842</v>
      </c>
      <c r="N674" s="24" t="n">
        <f aca="false">IF(N$670&lt;=Inputs!$C$81,IF(N$670&lt;=Inputs!$C$79,0,$C$657-N673),$C$668-N673)</f>
        <v>15.4944342965337</v>
      </c>
    </row>
    <row r="675" customFormat="false" ht="15" hidden="false" customHeight="false" outlineLevel="0" collapsed="false">
      <c r="B675" s="29" t="s">
        <v>198</v>
      </c>
      <c r="E675" s="30" t="n">
        <f aca="false">E671-E674</f>
        <v>358.825681486211</v>
      </c>
      <c r="F675" s="30" t="n">
        <f aca="false">F671-F674</f>
        <v>358.825681486211</v>
      </c>
      <c r="G675" s="30" t="n">
        <f aca="false">G671-G674</f>
        <v>352.285466902435</v>
      </c>
      <c r="H675" s="30" t="n">
        <f aca="false">H671-H674</f>
        <v>345.352839443632</v>
      </c>
      <c r="I675" s="30" t="n">
        <f aca="false">I671-I674</f>
        <v>338.004254337301</v>
      </c>
      <c r="J675" s="30" t="n">
        <f aca="false">J671-J674</f>
        <v>330.21475412459</v>
      </c>
      <c r="K675" s="30" t="n">
        <f aca="false">K671-K674</f>
        <v>321.957883899116</v>
      </c>
      <c r="L675" s="30" t="n">
        <f aca="false">L671-L674</f>
        <v>102.768510602558</v>
      </c>
      <c r="M675" s="30" t="n">
        <f aca="false">M671-M674</f>
        <v>88.2197460048735</v>
      </c>
      <c r="N675" s="30" t="n">
        <f aca="false">N671-N674</f>
        <v>72.7253117083398</v>
      </c>
    </row>
    <row r="676" customFormat="false" ht="15" hidden="false" customHeight="false" outlineLevel="0" collapsed="false">
      <c r="B676" s="9" t="s">
        <v>199</v>
      </c>
      <c r="E676" s="24" t="n">
        <f aca="false">E673+E674</f>
        <v>21.5295408891727</v>
      </c>
      <c r="F676" s="24" t="n">
        <f aca="false">F673+F674</f>
        <v>21.5295408891727</v>
      </c>
      <c r="G676" s="24" t="n">
        <f aca="false">G673+G674</f>
        <v>28.069755472949</v>
      </c>
      <c r="H676" s="24" t="n">
        <f aca="false">H673+H674</f>
        <v>28.069755472949</v>
      </c>
      <c r="I676" s="24" t="n">
        <f aca="false">I673+I674</f>
        <v>28.069755472949</v>
      </c>
      <c r="J676" s="24" t="n">
        <f aca="false">J673+J674</f>
        <v>28.069755472949</v>
      </c>
      <c r="K676" s="24" t="n">
        <f aca="false">K673+K674</f>
        <v>28.069755472949</v>
      </c>
      <c r="L676" s="24" t="n">
        <f aca="false">L673+L674</f>
        <v>21.2287177868505</v>
      </c>
      <c r="M676" s="24" t="n">
        <f aca="false">M673+M674</f>
        <v>21.2287177868505</v>
      </c>
      <c r="N676" s="24" t="n">
        <f aca="false">N673+N674</f>
        <v>21.2287177868505</v>
      </c>
    </row>
    <row r="677" customFormat="false" ht="15" hidden="false" customHeight="false" outlineLevel="0" collapsed="false">
      <c r="B677" s="9" t="s">
        <v>200</v>
      </c>
      <c r="E677" s="22" t="n">
        <f aca="false">(E637-E638)/E676</f>
        <v>2.29842545434333</v>
      </c>
      <c r="F677" s="22" t="n">
        <f aca="false">(F637-F638)/F676</f>
        <v>2.35967665104968</v>
      </c>
      <c r="G677" s="22" t="n">
        <f aca="false">(G637-G638)/G676</f>
        <v>2.822046318402</v>
      </c>
      <c r="H677" s="22" t="n">
        <f aca="false">(H637-H638)/H676</f>
        <v>2.88901061866564</v>
      </c>
      <c r="I677" s="22" t="n">
        <f aca="false">(I637-I638)/I676</f>
        <v>2.8901195538512</v>
      </c>
      <c r="J677" s="22" t="n">
        <f aca="false">(J637-J638)/J676</f>
        <v>2.94088011512174</v>
      </c>
      <c r="K677" s="22" t="n">
        <f aca="false">(K637-K638)/K676</f>
        <v>2.99247199586889</v>
      </c>
      <c r="L677" s="22" t="n">
        <f aca="false">(L637-L638)/L676</f>
        <v>4.02613994142516</v>
      </c>
      <c r="M677" s="22" t="n">
        <f aca="false">(M637-M638)/M676</f>
        <v>1.04300744311784</v>
      </c>
      <c r="N677" s="22" t="n">
        <f aca="false">(N637-N638)/N676</f>
        <v>2.26559005919222</v>
      </c>
    </row>
    <row r="678" customFormat="false" ht="15" hidden="false" customHeight="false" outlineLevel="0" collapsed="false">
      <c r="B678" s="29" t="s">
        <v>201</v>
      </c>
      <c r="C678" s="32" t="n">
        <f aca="false">MIN(I677:K677)</f>
        <v>2.8901195538512</v>
      </c>
    </row>
    <row r="680" customFormat="false" ht="15" hidden="false" customHeight="false" outlineLevel="0" collapsed="false">
      <c r="B680" s="25" t="s">
        <v>202</v>
      </c>
      <c r="C680" s="26"/>
      <c r="D680" s="26" t="n">
        <v>0</v>
      </c>
      <c r="E680" s="26" t="n">
        <v>1</v>
      </c>
      <c r="F680" s="26" t="n">
        <v>2</v>
      </c>
      <c r="G680" s="26" t="n">
        <v>3</v>
      </c>
      <c r="H680" s="26" t="n">
        <v>4</v>
      </c>
      <c r="I680" s="26" t="n">
        <v>5</v>
      </c>
      <c r="J680" s="26" t="n">
        <v>6</v>
      </c>
      <c r="K680" s="26" t="n">
        <v>7</v>
      </c>
      <c r="L680" s="26" t="n">
        <v>8</v>
      </c>
      <c r="M680" s="26" t="n">
        <v>9</v>
      </c>
      <c r="N680" s="26" t="n">
        <v>10</v>
      </c>
    </row>
    <row r="681" customFormat="false" ht="15" hidden="false" customHeight="false" outlineLevel="0" collapsed="false">
      <c r="B681" s="9" t="s">
        <v>203</v>
      </c>
      <c r="D681" s="24" t="n">
        <f aca="false">$C$656*(1-Inputs!$C$82)</f>
        <v>355.237424671349</v>
      </c>
      <c r="E681" s="24" t="n">
        <f aca="false">-E676+IF(E$670=Inputs!$C$81,$C$667,0)</f>
        <v>-21.5295408891727</v>
      </c>
      <c r="F681" s="24" t="n">
        <f aca="false">-F676+IF(F$670=Inputs!$C$81,$C$667,0)</f>
        <v>-21.5295408891727</v>
      </c>
      <c r="G681" s="24" t="n">
        <f aca="false">-G676+IF(G$670=Inputs!$C$81,$C$667,0)</f>
        <v>-28.069755472949</v>
      </c>
      <c r="H681" s="24" t="n">
        <f aca="false">-H676+IF(H$670=Inputs!$C$81,$C$667,0)</f>
        <v>-28.069755472949</v>
      </c>
      <c r="I681" s="24" t="n">
        <f aca="false">-I676+IF(I$670=Inputs!$C$81,$C$667,0)</f>
        <v>-28.069755472949</v>
      </c>
      <c r="J681" s="24" t="n">
        <f aca="false">-J676+IF(J$670=Inputs!$C$81,$C$667,0)</f>
        <v>-28.069755472949</v>
      </c>
      <c r="K681" s="24" t="n">
        <f aca="false">-K676+IF(K$670=Inputs!$C$81,$C$667,0)</f>
        <v>-234.76261016501</v>
      </c>
      <c r="L681" s="24" t="n">
        <f aca="false">-L676+IF(L$670=Inputs!$C$81,$C$667,0)</f>
        <v>-21.2287177868505</v>
      </c>
      <c r="M681" s="24" t="n">
        <f aca="false">-M676+IF(M$670=Inputs!$C$81,$C$667,0)</f>
        <v>-21.2287177868505</v>
      </c>
      <c r="N681" s="24" t="n">
        <f aca="false">-N676+IF(N$670=Inputs!$C$81,$C$667,0)-N675</f>
        <v>-93.9540294951903</v>
      </c>
    </row>
    <row r="682" customFormat="false" ht="15" hidden="false" customHeight="false" outlineLevel="0" collapsed="false">
      <c r="B682" s="29" t="s">
        <v>202</v>
      </c>
      <c r="D682" s="30" t="n">
        <f aca="false">D653+D681</f>
        <v>-310.221111903079</v>
      </c>
      <c r="E682" s="30" t="n">
        <f aca="false">E653+E681</f>
        <v>-56.0454960891727</v>
      </c>
      <c r="F682" s="30" t="n">
        <f aca="false">F653+F681</f>
        <v>-54.7267859451727</v>
      </c>
      <c r="G682" s="30" t="n">
        <f aca="false">G653+G681</f>
        <v>51.144394617931</v>
      </c>
      <c r="H682" s="30" t="n">
        <f aca="false">H653+H681</f>
        <v>53.0240661517486</v>
      </c>
      <c r="I682" s="30" t="n">
        <f aca="false">I653+I681</f>
        <v>53.0551936912426</v>
      </c>
      <c r="J682" s="30" t="n">
        <f aca="false">J653+J681</f>
        <v>54.4800302337764</v>
      </c>
      <c r="K682" s="30" t="n">
        <f aca="false">K653+K681</f>
        <v>-150.764652981322</v>
      </c>
      <c r="L682" s="30" t="n">
        <f aca="false">L653+L681</f>
        <v>64.241070800031</v>
      </c>
      <c r="M682" s="30" t="n">
        <f aca="false">M653+M681</f>
        <v>-24.6870071273174</v>
      </c>
      <c r="N682" s="30" t="n">
        <f aca="false">N653+N681</f>
        <v>845.37805303243</v>
      </c>
    </row>
    <row r="683" customFormat="false" ht="15" hidden="false" customHeight="false" outlineLevel="0" collapsed="false">
      <c r="B683" s="29" t="s">
        <v>204</v>
      </c>
      <c r="C683" s="31" t="n">
        <f aca="false">IRR(D682:N682,0.08)</f>
        <v>0.1</v>
      </c>
    </row>
    <row r="684" customFormat="false" ht="15" hidden="false" customHeight="false" outlineLevel="0" collapsed="false">
      <c r="B684" s="9" t="s">
        <v>205</v>
      </c>
      <c r="C684" s="33" t="n">
        <f aca="false">SUMIF(D682:N682,"&gt;0")/-SUMIF(D682:N682,"&lt;0")</f>
        <v>1.88001023886529</v>
      </c>
    </row>
    <row r="685" customFormat="false" ht="15" hidden="false" customHeight="false" outlineLevel="0" collapsed="false">
      <c r="B685" s="9" t="s">
        <v>206</v>
      </c>
      <c r="C685" s="24" t="n">
        <f aca="false">-D682</f>
        <v>310.221111903079</v>
      </c>
    </row>
    <row r="687" customFormat="false" ht="15" hidden="false" customHeight="false" outlineLevel="0" collapsed="false">
      <c r="B687" s="29" t="s">
        <v>268</v>
      </c>
      <c r="C687" s="31" t="n">
        <f aca="false">Inputs!$C$97</f>
        <v>0.1</v>
      </c>
    </row>
    <row r="688" customFormat="false" ht="15" hidden="false" customHeight="false" outlineLevel="0" collapsed="false">
      <c r="B688" s="29" t="s">
        <v>269</v>
      </c>
      <c r="C688" s="31" t="n">
        <f aca="false">Thresholds!$C$683</f>
        <v>0.1</v>
      </c>
    </row>
    <row r="689" customFormat="false" ht="15" hidden="false" customHeight="false" outlineLevel="0" collapsed="false">
      <c r="B689" s="29" t="s">
        <v>264</v>
      </c>
      <c r="C689" s="37" t="n">
        <f aca="false">C688-C687</f>
        <v>0</v>
      </c>
    </row>
    <row r="690" customFormat="false" ht="15" hidden="false" customHeight="false" outlineLevel="0" collapsed="false">
      <c r="B690" s="29" t="s">
        <v>265</v>
      </c>
      <c r="C690" s="38" t="str">
        <f aca="false">IF(ABS(C689)&lt;=0.000001,"OK","FAIL")</f>
        <v>OK</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K1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
    <col collapsed="false" customWidth="true" hidden="false" outlineLevel="0" max="3" min="3" style="0" width="14"/>
    <col collapsed="false" customWidth="true" hidden="false" outlineLevel="0" max="4" min="4" style="0" width="16"/>
    <col collapsed="false" customWidth="true" hidden="false" outlineLevel="0" max="5" min="5" style="0" width="62"/>
    <col collapsed="false" customWidth="true" hidden="false" outlineLevel="0" max="6" min="6" style="0" width="18"/>
    <col collapsed="false" customWidth="true" hidden="false" outlineLevel="0" max="8" min="7" style="0" width="14"/>
    <col collapsed="false" customWidth="true" hidden="false" outlineLevel="0" max="9" min="9" style="0" width="13"/>
    <col collapsed="false" customWidth="true" hidden="false" outlineLevel="0" max="10" min="10" style="0" width="11"/>
    <col collapsed="false" customWidth="true" hidden="false" outlineLevel="0" max="11" min="11" style="0" width="9"/>
  </cols>
  <sheetData>
    <row r="1" customFormat="false" ht="6" hidden="false" customHeight="true" outlineLevel="0" collapsed="false"/>
    <row r="2" customFormat="false" ht="17.35" hidden="false" customHeight="false" outlineLevel="0" collapsed="false">
      <c r="B2" s="5" t="s">
        <v>284</v>
      </c>
    </row>
    <row r="3" customFormat="false" ht="15" hidden="false" customHeight="false" outlineLevel="0" collapsed="false">
      <c r="B3" s="6" t="s">
        <v>285</v>
      </c>
    </row>
    <row r="5" customFormat="false" ht="15" hidden="false" customHeight="false" outlineLevel="0" collapsed="false">
      <c r="C5" s="29" t="s">
        <v>286</v>
      </c>
      <c r="D5" s="29"/>
      <c r="E5" s="42" t="n">
        <f aca="false">COUNTA(K11:K146)</f>
        <v>136</v>
      </c>
    </row>
    <row r="6" customFormat="false" ht="15" hidden="false" customHeight="false" outlineLevel="0" collapsed="false">
      <c r="C6" s="29" t="s">
        <v>287</v>
      </c>
      <c r="D6" s="29"/>
      <c r="E6" s="42" t="n">
        <f aca="false">COUNTIF(K11:K146,"PASS")</f>
        <v>136</v>
      </c>
    </row>
    <row r="7" customFormat="false" ht="15" hidden="false" customHeight="false" outlineLevel="0" collapsed="false">
      <c r="C7" s="29" t="s">
        <v>288</v>
      </c>
      <c r="D7" s="29"/>
      <c r="E7" s="42" t="n">
        <f aca="false">E5-E6</f>
        <v>0</v>
      </c>
    </row>
    <row r="8" customFormat="false" ht="15" hidden="false" customHeight="false" outlineLevel="0" collapsed="false">
      <c r="C8" s="29" t="s">
        <v>289</v>
      </c>
      <c r="D8" s="29"/>
      <c r="E8" s="38" t="str">
        <f aca="false">IF(AND(E5&gt;0,E6=E5,E7=0),"PASS","FAIL")</f>
        <v>PASS</v>
      </c>
    </row>
    <row r="10" customFormat="false" ht="30" hidden="false" customHeight="true" outlineLevel="0" collapsed="false">
      <c r="B10" s="25" t="s">
        <v>290</v>
      </c>
      <c r="C10" s="26" t="s">
        <v>291</v>
      </c>
      <c r="D10" s="26" t="s">
        <v>292</v>
      </c>
      <c r="E10" s="26" t="s">
        <v>293</v>
      </c>
      <c r="F10" s="26" t="s">
        <v>294</v>
      </c>
      <c r="G10" s="26" t="s">
        <v>295</v>
      </c>
      <c r="H10" s="26" t="s">
        <v>296</v>
      </c>
      <c r="I10" s="26" t="s">
        <v>297</v>
      </c>
      <c r="J10" s="26" t="s">
        <v>298</v>
      </c>
      <c r="K10" s="26" t="s">
        <v>299</v>
      </c>
    </row>
    <row r="11" customFormat="false" ht="15" hidden="false" customHeight="false" outlineLevel="0" collapsed="false">
      <c r="B11" s="43" t="n">
        <v>1</v>
      </c>
      <c r="C11" s="9" t="s">
        <v>300</v>
      </c>
      <c r="D11" s="9" t="s">
        <v>301</v>
      </c>
      <c r="E11" s="9" t="s">
        <v>302</v>
      </c>
      <c r="F11" s="44" t="s">
        <v>303</v>
      </c>
      <c r="G11" s="15" t="n">
        <v>52.99</v>
      </c>
      <c r="H11" s="45" t="n">
        <f aca="false">Model!$E$26</f>
        <v>52.992</v>
      </c>
      <c r="I11" s="46" t="n">
        <f aca="false">H11-G11</f>
        <v>0.00199999999999534</v>
      </c>
      <c r="J11" s="47" t="n">
        <v>0.005000001</v>
      </c>
      <c r="K11" s="38" t="str">
        <f aca="false">IF(ISERROR(I11),"FAIL",IF(ABS(I11)&lt;=J11,"PASS","FAIL"))</f>
        <v>PASS</v>
      </c>
    </row>
    <row r="12" customFormat="false" ht="15" hidden="false" customHeight="false" outlineLevel="0" collapsed="false">
      <c r="B12" s="43" t="n">
        <v>2</v>
      </c>
      <c r="C12" s="9" t="s">
        <v>300</v>
      </c>
      <c r="D12" s="9" t="s">
        <v>304</v>
      </c>
      <c r="E12" s="9" t="s">
        <v>305</v>
      </c>
      <c r="F12" s="44" t="s">
        <v>306</v>
      </c>
      <c r="G12" s="15" t="n">
        <v>60.87</v>
      </c>
      <c r="H12" s="45" t="n">
        <f aca="false">Model!$L$26</f>
        <v>60.8711509000706</v>
      </c>
      <c r="I12" s="46" t="n">
        <f aca="false">H12-G12</f>
        <v>0.00115090007064822</v>
      </c>
      <c r="J12" s="47" t="n">
        <v>0.005000001</v>
      </c>
      <c r="K12" s="38" t="str">
        <f aca="false">IF(ISERROR(I12),"FAIL",IF(ABS(I12)&lt;=J12,"PASS","FAIL"))</f>
        <v>PASS</v>
      </c>
    </row>
    <row r="13" customFormat="false" ht="15" hidden="false" customHeight="false" outlineLevel="0" collapsed="false">
      <c r="B13" s="43" t="n">
        <v>3</v>
      </c>
      <c r="C13" s="9" t="s">
        <v>300</v>
      </c>
      <c r="D13" s="9" t="s">
        <v>307</v>
      </c>
      <c r="E13" s="9" t="s">
        <v>308</v>
      </c>
      <c r="F13" s="44" t="s">
        <v>309</v>
      </c>
      <c r="G13" s="48" t="n">
        <v>224256</v>
      </c>
      <c r="H13" s="22" t="n">
        <f aca="false">Model!$E$25</f>
        <v>224256</v>
      </c>
      <c r="I13" s="46" t="n">
        <f aca="false">H13-G13</f>
        <v>0</v>
      </c>
      <c r="J13" s="47" t="n">
        <v>0.500000001</v>
      </c>
      <c r="K13" s="38" t="str">
        <f aca="false">IF(ISERROR(I13),"FAIL",IF(ABS(I13)&lt;=J13,"PASS","FAIL"))</f>
        <v>PASS</v>
      </c>
    </row>
    <row r="14" customFormat="false" ht="15" hidden="false" customHeight="false" outlineLevel="0" collapsed="false">
      <c r="B14" s="43" t="n">
        <v>4</v>
      </c>
      <c r="C14" s="9" t="s">
        <v>300</v>
      </c>
      <c r="D14" s="9" t="s">
        <v>310</v>
      </c>
      <c r="E14" s="9" t="s">
        <v>311</v>
      </c>
      <c r="F14" s="44" t="s">
        <v>312</v>
      </c>
      <c r="G14" s="15" t="n">
        <v>2.42</v>
      </c>
      <c r="H14" s="45" t="n">
        <f aca="false">Model!$E$27</f>
        <v>2.4219648</v>
      </c>
      <c r="I14" s="46" t="n">
        <f aca="false">H14-G14</f>
        <v>0.00196480000000276</v>
      </c>
      <c r="J14" s="47" t="n">
        <v>0.005000001</v>
      </c>
      <c r="K14" s="38" t="str">
        <f aca="false">IF(ISERROR(I14),"FAIL",IF(ABS(I14)&lt;=J14,"PASS","FAIL"))</f>
        <v>PASS</v>
      </c>
    </row>
    <row r="15" customFormat="false" ht="15" hidden="false" customHeight="false" outlineLevel="0" collapsed="false">
      <c r="B15" s="43" t="n">
        <v>5</v>
      </c>
      <c r="C15" s="9" t="s">
        <v>300</v>
      </c>
      <c r="D15" s="9" t="s">
        <v>313</v>
      </c>
      <c r="E15" s="9" t="s">
        <v>314</v>
      </c>
      <c r="F15" s="44" t="s">
        <v>315</v>
      </c>
      <c r="G15" s="15" t="n">
        <v>1.37</v>
      </c>
      <c r="H15" s="45" t="n">
        <f aca="false">Model!$C$53</f>
        <v>1.3679616</v>
      </c>
      <c r="I15" s="46" t="n">
        <f aca="false">H15-G15</f>
        <v>-0.00203840000000177</v>
      </c>
      <c r="J15" s="47" t="n">
        <v>0.005000001</v>
      </c>
      <c r="K15" s="38" t="str">
        <f aca="false">IF(ISERROR(I15),"FAIL",IF(ABS(I15)&lt;=J15,"PASS","FAIL"))</f>
        <v>PASS</v>
      </c>
    </row>
    <row r="16" customFormat="false" ht="15" hidden="false" customHeight="false" outlineLevel="0" collapsed="false">
      <c r="B16" s="43" t="n">
        <v>6</v>
      </c>
      <c r="C16" s="9" t="s">
        <v>300</v>
      </c>
      <c r="D16" s="9" t="s">
        <v>316</v>
      </c>
      <c r="E16" s="9" t="s">
        <v>317</v>
      </c>
      <c r="F16" s="44" t="s">
        <v>318</v>
      </c>
      <c r="G16" s="48" t="n">
        <v>168</v>
      </c>
      <c r="H16" s="22" t="n">
        <f aca="false">Model!$C$54</f>
        <v>168</v>
      </c>
      <c r="I16" s="46" t="n">
        <f aca="false">H16-G16</f>
        <v>0</v>
      </c>
      <c r="J16" s="47" t="n">
        <v>0.500000001</v>
      </c>
      <c r="K16" s="38" t="str">
        <f aca="false">IF(ISERROR(I16),"FAIL",IF(ABS(I16)&lt;=J16,"PASS","FAIL"))</f>
        <v>PASS</v>
      </c>
    </row>
    <row r="17" customFormat="false" ht="15" hidden="false" customHeight="false" outlineLevel="0" collapsed="false">
      <c r="B17" s="43" t="n">
        <v>7</v>
      </c>
      <c r="C17" s="9" t="s">
        <v>300</v>
      </c>
      <c r="D17" s="9" t="s">
        <v>319</v>
      </c>
      <c r="E17" s="9" t="s">
        <v>320</v>
      </c>
      <c r="F17" s="44" t="s">
        <v>321</v>
      </c>
      <c r="G17" s="15" t="n">
        <v>29.18</v>
      </c>
      <c r="H17" s="45" t="n">
        <f aca="false">Model!$G$29</f>
        <v>29.184</v>
      </c>
      <c r="I17" s="46" t="n">
        <f aca="false">H17-G17</f>
        <v>0.00400000000000134</v>
      </c>
      <c r="J17" s="47" t="n">
        <v>0.005000001</v>
      </c>
      <c r="K17" s="38" t="str">
        <f aca="false">IF(ISERROR(I17),"FAIL",IF(ABS(I17)&lt;=J17,"PASS","FAIL"))</f>
        <v>PASS</v>
      </c>
    </row>
    <row r="18" customFormat="false" ht="15" hidden="false" customHeight="false" outlineLevel="0" collapsed="false">
      <c r="B18" s="43" t="n">
        <v>8</v>
      </c>
      <c r="C18" s="9" t="s">
        <v>300</v>
      </c>
      <c r="D18" s="9" t="s">
        <v>322</v>
      </c>
      <c r="E18" s="9" t="s">
        <v>323</v>
      </c>
      <c r="F18" s="44" t="s">
        <v>324</v>
      </c>
      <c r="G18" s="10" t="n">
        <v>51.2</v>
      </c>
      <c r="H18" s="49" t="n">
        <f aca="false">Model!$C$55</f>
        <v>51.2</v>
      </c>
      <c r="I18" s="46" t="n">
        <f aca="false">H18-G18</f>
        <v>0</v>
      </c>
      <c r="J18" s="47" t="n">
        <v>0.050000001</v>
      </c>
      <c r="K18" s="38" t="str">
        <f aca="false">IF(ISERROR(I18),"FAIL",IF(ABS(I18)&lt;=J18,"PASS","FAIL"))</f>
        <v>PASS</v>
      </c>
    </row>
    <row r="19" customFormat="false" ht="15" hidden="false" customHeight="false" outlineLevel="0" collapsed="false">
      <c r="B19" s="43" t="n">
        <v>9</v>
      </c>
      <c r="C19" s="9" t="s">
        <v>300</v>
      </c>
      <c r="D19" s="9" t="s">
        <v>325</v>
      </c>
      <c r="E19" s="9" t="s">
        <v>326</v>
      </c>
      <c r="F19" s="44" t="s">
        <v>327</v>
      </c>
      <c r="G19" s="10" t="n">
        <v>83.2</v>
      </c>
      <c r="H19" s="49" t="n">
        <f aca="false">Model!$C$56</f>
        <v>83.2</v>
      </c>
      <c r="I19" s="46" t="n">
        <f aca="false">H19-G19</f>
        <v>0</v>
      </c>
      <c r="J19" s="47" t="n">
        <v>0.050000001</v>
      </c>
      <c r="K19" s="38" t="str">
        <f aca="false">IF(ISERROR(I19),"FAIL",IF(ABS(I19)&lt;=J19,"PASS","FAIL"))</f>
        <v>PASS</v>
      </c>
    </row>
    <row r="20" customFormat="false" ht="15" hidden="false" customHeight="false" outlineLevel="0" collapsed="false">
      <c r="B20" s="43" t="n">
        <v>10</v>
      </c>
      <c r="C20" s="9" t="s">
        <v>328</v>
      </c>
      <c r="D20" s="9" t="s">
        <v>329</v>
      </c>
      <c r="E20" s="9" t="s">
        <v>330</v>
      </c>
      <c r="F20" s="44" t="s">
        <v>331</v>
      </c>
      <c r="G20" s="17" t="n">
        <v>0.1023</v>
      </c>
      <c r="H20" s="50" t="n">
        <f aca="false">Debt!$C$33</f>
        <v>0.102311113960093</v>
      </c>
      <c r="I20" s="46" t="n">
        <f aca="false">H20-G20</f>
        <v>1.11139600932203E-005</v>
      </c>
      <c r="J20" s="47" t="n">
        <v>5.0001E-005</v>
      </c>
      <c r="K20" s="38" t="str">
        <f aca="false">IF(ISERROR(I20),"FAIL",IF(ABS(I20)&lt;=J20,"PASS","FAIL"))</f>
        <v>PASS</v>
      </c>
    </row>
    <row r="21" customFormat="false" ht="15" hidden="false" customHeight="false" outlineLevel="0" collapsed="false">
      <c r="B21" s="43" t="n">
        <v>11</v>
      </c>
      <c r="C21" s="9" t="s">
        <v>328</v>
      </c>
      <c r="D21" s="9" t="s">
        <v>332</v>
      </c>
      <c r="E21" s="9" t="s">
        <v>333</v>
      </c>
      <c r="F21" s="44" t="s">
        <v>334</v>
      </c>
      <c r="G21" s="17" t="n">
        <v>0.0777</v>
      </c>
      <c r="H21" s="50" t="n">
        <f aca="false">Debt!$C$164</f>
        <v>0.0777279567262864</v>
      </c>
      <c r="I21" s="46" t="n">
        <f aca="false">H21-G21</f>
        <v>2.79567262864294E-005</v>
      </c>
      <c r="J21" s="47" t="n">
        <v>5.0001E-005</v>
      </c>
      <c r="K21" s="38" t="str">
        <f aca="false">IF(ISERROR(I21),"FAIL",IF(ABS(I21)&lt;=J21,"PASS","FAIL"))</f>
        <v>PASS</v>
      </c>
    </row>
    <row r="22" customFormat="false" ht="15" hidden="false" customHeight="false" outlineLevel="0" collapsed="false">
      <c r="B22" s="43" t="n">
        <v>12</v>
      </c>
      <c r="C22" s="9" t="s">
        <v>328</v>
      </c>
      <c r="D22" s="9" t="s">
        <v>335</v>
      </c>
      <c r="E22" s="9" t="s">
        <v>336</v>
      </c>
      <c r="F22" s="44" t="s">
        <v>337</v>
      </c>
      <c r="G22" s="15" t="n">
        <v>1.88</v>
      </c>
      <c r="H22" s="45" t="n">
        <f aca="false">Debt!$C$159</f>
        <v>1.87775529626734</v>
      </c>
      <c r="I22" s="46" t="n">
        <f aca="false">H22-G22</f>
        <v>-0.00224470373265984</v>
      </c>
      <c r="J22" s="47" t="n">
        <v>0.005000001</v>
      </c>
      <c r="K22" s="38" t="str">
        <f aca="false">IF(ISERROR(I22),"FAIL",IF(ABS(I22)&lt;=J22,"PASS","FAIL"))</f>
        <v>PASS</v>
      </c>
    </row>
    <row r="23" customFormat="false" ht="15" hidden="false" customHeight="false" outlineLevel="0" collapsed="false">
      <c r="B23" s="43" t="n">
        <v>13</v>
      </c>
      <c r="C23" s="9" t="s">
        <v>328</v>
      </c>
      <c r="D23" s="9" t="s">
        <v>338</v>
      </c>
      <c r="E23" s="9" t="s">
        <v>339</v>
      </c>
      <c r="F23" s="44" t="s">
        <v>340</v>
      </c>
      <c r="G23" s="17" t="n">
        <v>0.1075</v>
      </c>
      <c r="H23" s="50" t="n">
        <f aca="false">Debt!$C$329</f>
        <v>0.107506457099582</v>
      </c>
      <c r="I23" s="46" t="n">
        <f aca="false">H23-G23</f>
        <v>6.45709958153884E-006</v>
      </c>
      <c r="J23" s="47" t="n">
        <v>5.0001E-005</v>
      </c>
      <c r="K23" s="38" t="str">
        <f aca="false">IF(ISERROR(I23),"FAIL",IF(ABS(I23)&lt;=J23,"PASS","FAIL"))</f>
        <v>PASS</v>
      </c>
    </row>
    <row r="24" customFormat="false" ht="15" hidden="false" customHeight="false" outlineLevel="0" collapsed="false">
      <c r="B24" s="43" t="n">
        <v>14</v>
      </c>
      <c r="C24" s="9" t="s">
        <v>328</v>
      </c>
      <c r="D24" s="9" t="s">
        <v>341</v>
      </c>
      <c r="E24" s="9" t="s">
        <v>342</v>
      </c>
      <c r="F24" s="44" t="s">
        <v>343</v>
      </c>
      <c r="G24" s="17" t="n">
        <v>0.0816</v>
      </c>
      <c r="H24" s="50" t="n">
        <f aca="false">Debt!$C$230</f>
        <v>0.0816184274507716</v>
      </c>
      <c r="I24" s="46" t="n">
        <f aca="false">H24-G24</f>
        <v>1.8427450771602E-005</v>
      </c>
      <c r="J24" s="47" t="n">
        <v>5.0001E-005</v>
      </c>
      <c r="K24" s="38" t="str">
        <f aca="false">IF(ISERROR(I24),"FAIL",IF(ABS(I24)&lt;=J24,"PASS","FAIL"))</f>
        <v>PASS</v>
      </c>
    </row>
    <row r="25" customFormat="false" ht="15" hidden="false" customHeight="false" outlineLevel="0" collapsed="false">
      <c r="B25" s="43" t="n">
        <v>15</v>
      </c>
      <c r="C25" s="9" t="s">
        <v>328</v>
      </c>
      <c r="D25" s="9" t="s">
        <v>344</v>
      </c>
      <c r="E25" s="9" t="s">
        <v>345</v>
      </c>
      <c r="F25" s="44" t="s">
        <v>346</v>
      </c>
      <c r="G25" s="17" t="n">
        <v>0.0914</v>
      </c>
      <c r="H25" s="50" t="n">
        <f aca="false">Debt!$C$197</f>
        <v>0.0913887174768365</v>
      </c>
      <c r="I25" s="46" t="n">
        <f aca="false">H25-G25</f>
        <v>-1.12825231635139E-005</v>
      </c>
      <c r="J25" s="47" t="n">
        <v>5.0001E-005</v>
      </c>
      <c r="K25" s="38" t="str">
        <f aca="false">IF(ISERROR(I25),"FAIL",IF(ABS(I25)&lt;=J25,"PASS","FAIL"))</f>
        <v>PASS</v>
      </c>
    </row>
    <row r="26" customFormat="false" ht="15" hidden="false" customHeight="false" outlineLevel="0" collapsed="false">
      <c r="B26" s="43" t="n">
        <v>16</v>
      </c>
      <c r="C26" s="9" t="s">
        <v>347</v>
      </c>
      <c r="D26" s="9" t="s">
        <v>348</v>
      </c>
      <c r="E26" s="9" t="s">
        <v>349</v>
      </c>
      <c r="F26" s="44" t="s">
        <v>350</v>
      </c>
      <c r="G26" s="17" t="n">
        <v>0.079</v>
      </c>
      <c r="H26" s="50" t="n">
        <f aca="false">Scenarios!$C$247</f>
        <v>0.0790018265148265</v>
      </c>
      <c r="I26" s="46" t="n">
        <f aca="false">H26-G26</f>
        <v>1.82651482653895E-006</v>
      </c>
      <c r="J26" s="47" t="n">
        <v>5.0001E-005</v>
      </c>
      <c r="K26" s="38" t="str">
        <f aca="false">IF(ISERROR(I26),"FAIL",IF(ABS(I26)&lt;=J26,"PASS","FAIL"))</f>
        <v>PASS</v>
      </c>
    </row>
    <row r="27" customFormat="false" ht="15" hidden="false" customHeight="false" outlineLevel="0" collapsed="false">
      <c r="B27" s="43" t="n">
        <v>17</v>
      </c>
      <c r="C27" s="9" t="s">
        <v>328</v>
      </c>
      <c r="D27" s="9" t="s">
        <v>351</v>
      </c>
      <c r="E27" s="9" t="s">
        <v>352</v>
      </c>
      <c r="F27" s="44" t="s">
        <v>353</v>
      </c>
      <c r="G27" s="17" t="n">
        <v>-0.0319</v>
      </c>
      <c r="H27" s="50" t="n">
        <f aca="false">Debt!$C$263</f>
        <v>-0.0318610076253425</v>
      </c>
      <c r="I27" s="46" t="n">
        <f aca="false">H27-G27</f>
        <v>3.89923746574594E-005</v>
      </c>
      <c r="J27" s="47" t="n">
        <v>5.0001E-005</v>
      </c>
      <c r="K27" s="38" t="str">
        <f aca="false">IF(ISERROR(I27),"FAIL",IF(ABS(I27)&lt;=J27,"PASS","FAIL"))</f>
        <v>PASS</v>
      </c>
    </row>
    <row r="28" customFormat="false" ht="15" hidden="false" customHeight="false" outlineLevel="0" collapsed="false">
      <c r="B28" s="43" t="n">
        <v>18</v>
      </c>
      <c r="C28" s="9" t="s">
        <v>328</v>
      </c>
      <c r="D28" s="9" t="s">
        <v>354</v>
      </c>
      <c r="E28" s="9" t="s">
        <v>355</v>
      </c>
      <c r="F28" s="44" t="s">
        <v>356</v>
      </c>
      <c r="G28" s="17" t="n">
        <v>0.087</v>
      </c>
      <c r="H28" s="50" t="n">
        <f aca="false">Debt!$C$296</f>
        <v>0.0869864270326339</v>
      </c>
      <c r="I28" s="46" t="n">
        <f aca="false">H28-G28</f>
        <v>-1.35729673660934E-005</v>
      </c>
      <c r="J28" s="47" t="n">
        <v>5.0001E-005</v>
      </c>
      <c r="K28" s="38" t="str">
        <f aca="false">IF(ISERROR(I28),"FAIL",IF(ABS(I28)&lt;=J28,"PASS","FAIL"))</f>
        <v>PASS</v>
      </c>
    </row>
    <row r="29" customFormat="false" ht="15" hidden="false" customHeight="false" outlineLevel="0" collapsed="false">
      <c r="B29" s="43" t="n">
        <v>19</v>
      </c>
      <c r="C29" s="9" t="s">
        <v>328</v>
      </c>
      <c r="D29" s="9" t="s">
        <v>357</v>
      </c>
      <c r="E29" s="9" t="s">
        <v>358</v>
      </c>
      <c r="F29" s="44" t="s">
        <v>331</v>
      </c>
      <c r="G29" s="17" t="n">
        <v>0.1023</v>
      </c>
      <c r="H29" s="50" t="n">
        <f aca="false">Debt!$C$33</f>
        <v>0.102311113960093</v>
      </c>
      <c r="I29" s="46" t="n">
        <f aca="false">H29-G29</f>
        <v>1.11139600932203E-005</v>
      </c>
      <c r="J29" s="47" t="n">
        <v>5.0001E-005</v>
      </c>
      <c r="K29" s="38" t="str">
        <f aca="false">IF(ISERROR(I29),"FAIL",IF(ABS(I29)&lt;=J29,"PASS","FAIL"))</f>
        <v>PASS</v>
      </c>
    </row>
    <row r="30" customFormat="false" ht="15" hidden="false" customHeight="false" outlineLevel="0" collapsed="false">
      <c r="B30" s="43" t="n">
        <v>20</v>
      </c>
      <c r="C30" s="9" t="s">
        <v>300</v>
      </c>
      <c r="D30" s="9" t="s">
        <v>359</v>
      </c>
      <c r="E30" s="9" t="s">
        <v>360</v>
      </c>
      <c r="F30" s="44" t="s">
        <v>361</v>
      </c>
      <c r="G30" s="17" t="n">
        <v>0.0849</v>
      </c>
      <c r="H30" s="50" t="n">
        <f aca="false">Model!$C$51</f>
        <v>0.0848656364293208</v>
      </c>
      <c r="I30" s="46" t="n">
        <f aca="false">H30-G30</f>
        <v>-3.43635706791939E-005</v>
      </c>
      <c r="J30" s="47" t="n">
        <v>5.0001E-005</v>
      </c>
      <c r="K30" s="38" t="str">
        <f aca="false">IF(ISERROR(I30),"FAIL",IF(ABS(I30)&lt;=J30,"PASS","FAIL"))</f>
        <v>PASS</v>
      </c>
    </row>
    <row r="31" customFormat="false" ht="15" hidden="false" customHeight="false" outlineLevel="0" collapsed="false">
      <c r="B31" s="43" t="n">
        <v>21</v>
      </c>
      <c r="C31" s="9" t="s">
        <v>300</v>
      </c>
      <c r="D31" s="9" t="s">
        <v>362</v>
      </c>
      <c r="E31" s="9" t="s">
        <v>363</v>
      </c>
      <c r="F31" s="44" t="s">
        <v>364</v>
      </c>
      <c r="G31" s="10" t="n">
        <v>1338.4</v>
      </c>
      <c r="H31" s="49" t="n">
        <f aca="false">Model!$C$46</f>
        <v>1338.43273606452</v>
      </c>
      <c r="I31" s="46" t="n">
        <f aca="false">H31-G31</f>
        <v>0.0327360645223962</v>
      </c>
      <c r="J31" s="47" t="n">
        <v>0.050000001</v>
      </c>
      <c r="K31" s="38" t="str">
        <f aca="false">IF(ISERROR(I31),"FAIL",IF(ABS(I31)&lt;=J31,"PASS","FAIL"))</f>
        <v>PASS</v>
      </c>
    </row>
    <row r="32" customFormat="false" ht="15" hidden="false" customHeight="false" outlineLevel="0" collapsed="false">
      <c r="B32" s="43" t="n">
        <v>22</v>
      </c>
      <c r="C32" s="9" t="s">
        <v>328</v>
      </c>
      <c r="D32" s="9" t="s">
        <v>365</v>
      </c>
      <c r="E32" s="9" t="s">
        <v>366</v>
      </c>
      <c r="F32" s="44" t="s">
        <v>367</v>
      </c>
      <c r="G32" s="10" t="n">
        <v>221.8</v>
      </c>
      <c r="H32" s="49" t="n">
        <f aca="false">Debt!$C$17</f>
        <v>221.810545452684</v>
      </c>
      <c r="I32" s="46" t="n">
        <f aca="false">H32-G32</f>
        <v>0.0105454526840276</v>
      </c>
      <c r="J32" s="47" t="n">
        <v>0.050000001</v>
      </c>
      <c r="K32" s="38" t="str">
        <f aca="false">IF(ISERROR(I32),"FAIL",IF(ABS(I32)&lt;=J32,"PASS","FAIL"))</f>
        <v>PASS</v>
      </c>
    </row>
    <row r="33" customFormat="false" ht="15" hidden="false" customHeight="false" outlineLevel="0" collapsed="false">
      <c r="B33" s="43" t="n">
        <v>23</v>
      </c>
      <c r="C33" s="9" t="s">
        <v>328</v>
      </c>
      <c r="D33" s="9" t="s">
        <v>368</v>
      </c>
      <c r="E33" s="9" t="s">
        <v>369</v>
      </c>
      <c r="F33" s="44" t="s">
        <v>370</v>
      </c>
      <c r="G33" s="17" t="n">
        <v>0.1069</v>
      </c>
      <c r="H33" s="50" t="n">
        <f aca="false">Debt!$C$65</f>
        <v>0.106923167450882</v>
      </c>
      <c r="I33" s="46" t="n">
        <f aca="false">H33-G33</f>
        <v>2.31674508815033E-005</v>
      </c>
      <c r="J33" s="47" t="n">
        <v>5.0001E-005</v>
      </c>
      <c r="K33" s="38" t="str">
        <f aca="false">IF(ISERROR(I33),"FAIL",IF(ABS(I33)&lt;=J33,"PASS","FAIL"))</f>
        <v>PASS</v>
      </c>
    </row>
    <row r="34" customFormat="false" ht="15" hidden="false" customHeight="false" outlineLevel="0" collapsed="false">
      <c r="B34" s="43" t="n">
        <v>24</v>
      </c>
      <c r="C34" s="9" t="s">
        <v>347</v>
      </c>
      <c r="D34" s="9" t="s">
        <v>371</v>
      </c>
      <c r="E34" s="9" t="s">
        <v>372</v>
      </c>
      <c r="F34" s="44" t="s">
        <v>373</v>
      </c>
      <c r="G34" s="17" t="n">
        <v>0.0916</v>
      </c>
      <c r="H34" s="50" t="n">
        <f aca="false">Scenarios!$C$51</f>
        <v>0.0916420359789399</v>
      </c>
      <c r="I34" s="46" t="n">
        <f aca="false">H34-G34</f>
        <v>4.20359789399111E-005</v>
      </c>
      <c r="J34" s="47" t="n">
        <v>5.0001E-005</v>
      </c>
      <c r="K34" s="38" t="str">
        <f aca="false">IF(ISERROR(I34),"FAIL",IF(ABS(I34)&lt;=J34,"PASS","FAIL"))</f>
        <v>PASS</v>
      </c>
    </row>
    <row r="35" customFormat="false" ht="15" hidden="false" customHeight="false" outlineLevel="0" collapsed="false">
      <c r="B35" s="43" t="n">
        <v>25</v>
      </c>
      <c r="C35" s="9" t="s">
        <v>347</v>
      </c>
      <c r="D35" s="9" t="s">
        <v>374</v>
      </c>
      <c r="E35" s="9" t="s">
        <v>375</v>
      </c>
      <c r="F35" s="44" t="s">
        <v>376</v>
      </c>
      <c r="G35" s="10" t="n">
        <v>1585.4</v>
      </c>
      <c r="H35" s="49" t="n">
        <f aca="false">Scenarios!$C$46</f>
        <v>1585.36429974034</v>
      </c>
      <c r="I35" s="46" t="n">
        <f aca="false">H35-G35</f>
        <v>-0.0357002596599614</v>
      </c>
      <c r="J35" s="47" t="n">
        <v>0.050000001</v>
      </c>
      <c r="K35" s="38" t="str">
        <f aca="false">IF(ISERROR(I35),"FAIL",IF(ABS(I35)&lt;=J35,"PASS","FAIL"))</f>
        <v>PASS</v>
      </c>
    </row>
    <row r="36" customFormat="false" ht="15" hidden="false" customHeight="false" outlineLevel="0" collapsed="false">
      <c r="B36" s="43" t="n">
        <v>26</v>
      </c>
      <c r="C36" s="9" t="s">
        <v>328</v>
      </c>
      <c r="D36" s="9" t="s">
        <v>377</v>
      </c>
      <c r="E36" s="9" t="s">
        <v>378</v>
      </c>
      <c r="F36" s="44" t="s">
        <v>379</v>
      </c>
      <c r="G36" s="10" t="n">
        <v>-328.9</v>
      </c>
      <c r="H36" s="49" t="n">
        <f aca="false">Debt!$C$49</f>
        <v>-328.875846858379</v>
      </c>
      <c r="I36" s="46" t="n">
        <f aca="false">H36-G36</f>
        <v>0.0241531416205589</v>
      </c>
      <c r="J36" s="47" t="n">
        <v>0.050000001</v>
      </c>
      <c r="K36" s="38" t="str">
        <f aca="false">IF(ISERROR(I36),"FAIL",IF(ABS(I36)&lt;=J36,"PASS","FAIL"))</f>
        <v>PASS</v>
      </c>
    </row>
    <row r="37" customFormat="false" ht="15" hidden="false" customHeight="false" outlineLevel="0" collapsed="false">
      <c r="B37" s="43" t="n">
        <v>27</v>
      </c>
      <c r="C37" s="9" t="s">
        <v>328</v>
      </c>
      <c r="D37" s="9" t="s">
        <v>380</v>
      </c>
      <c r="E37" s="9" t="s">
        <v>381</v>
      </c>
      <c r="F37" s="44" t="s">
        <v>382</v>
      </c>
      <c r="G37" s="17" t="n">
        <v>0.0356</v>
      </c>
      <c r="H37" s="50" t="n">
        <f aca="false">Debt!$C$98</f>
        <v>0.0356399607632241</v>
      </c>
      <c r="I37" s="46" t="n">
        <f aca="false">H37-G37</f>
        <v>3.99607632241353E-005</v>
      </c>
      <c r="J37" s="47" t="n">
        <v>5.0001E-005</v>
      </c>
      <c r="K37" s="38" t="str">
        <f aca="false">IF(ISERROR(I37),"FAIL",IF(ABS(I37)&lt;=J37,"PASS","FAIL"))</f>
        <v>PASS</v>
      </c>
    </row>
    <row r="38" customFormat="false" ht="15" hidden="false" customHeight="false" outlineLevel="0" collapsed="false">
      <c r="B38" s="43" t="n">
        <v>28</v>
      </c>
      <c r="C38" s="9" t="s">
        <v>347</v>
      </c>
      <c r="D38" s="9" t="s">
        <v>383</v>
      </c>
      <c r="E38" s="9" t="s">
        <v>384</v>
      </c>
      <c r="F38" s="44" t="s">
        <v>385</v>
      </c>
      <c r="G38" s="17" t="n">
        <v>0.0462</v>
      </c>
      <c r="H38" s="50" t="n">
        <f aca="false">Scenarios!$C$100</f>
        <v>0.0461559253942883</v>
      </c>
      <c r="I38" s="46" t="n">
        <f aca="false">H38-G38</f>
        <v>-4.40746057116873E-005</v>
      </c>
      <c r="J38" s="47" t="n">
        <v>5.0001E-005</v>
      </c>
      <c r="K38" s="38" t="str">
        <f aca="false">IF(ISERROR(I38),"FAIL",IF(ABS(I38)&lt;=J38,"PASS","FAIL"))</f>
        <v>PASS</v>
      </c>
    </row>
    <row r="39" customFormat="false" ht="15" hidden="false" customHeight="false" outlineLevel="0" collapsed="false">
      <c r="B39" s="43" t="n">
        <v>29</v>
      </c>
      <c r="C39" s="9" t="s">
        <v>347</v>
      </c>
      <c r="D39" s="9" t="s">
        <v>386</v>
      </c>
      <c r="E39" s="9" t="s">
        <v>387</v>
      </c>
      <c r="F39" s="44" t="s">
        <v>388</v>
      </c>
      <c r="G39" s="10" t="n">
        <v>891.2</v>
      </c>
      <c r="H39" s="49" t="n">
        <f aca="false">Scenarios!$C$95</f>
        <v>891.236510540335</v>
      </c>
      <c r="I39" s="46" t="n">
        <f aca="false">H39-G39</f>
        <v>0.0365105403346888</v>
      </c>
      <c r="J39" s="47" t="n">
        <v>0.050000001</v>
      </c>
      <c r="K39" s="38" t="str">
        <f aca="false">IF(ISERROR(I39),"FAIL",IF(ABS(I39)&lt;=J39,"PASS","FAIL"))</f>
        <v>PASS</v>
      </c>
    </row>
    <row r="40" customFormat="false" ht="15" hidden="false" customHeight="false" outlineLevel="0" collapsed="false">
      <c r="B40" s="43" t="n">
        <v>30</v>
      </c>
      <c r="C40" s="9" t="s">
        <v>328</v>
      </c>
      <c r="D40" s="9" t="s">
        <v>389</v>
      </c>
      <c r="E40" s="9" t="s">
        <v>390</v>
      </c>
      <c r="F40" s="44" t="s">
        <v>379</v>
      </c>
      <c r="G40" s="10" t="n">
        <v>-328.9</v>
      </c>
      <c r="H40" s="49" t="n">
        <f aca="false">Debt!$C$82</f>
        <v>-328.875846858379</v>
      </c>
      <c r="I40" s="46" t="n">
        <f aca="false">H40-G40</f>
        <v>0.0241531416205589</v>
      </c>
      <c r="J40" s="47" t="n">
        <v>0.050000001</v>
      </c>
      <c r="K40" s="38" t="str">
        <f aca="false">IF(ISERROR(I40),"FAIL",IF(ABS(I40)&lt;=J40,"PASS","FAIL"))</f>
        <v>PASS</v>
      </c>
    </row>
    <row r="41" customFormat="false" ht="15" hidden="false" customHeight="false" outlineLevel="0" collapsed="false">
      <c r="B41" s="43" t="n">
        <v>31</v>
      </c>
      <c r="C41" s="9" t="s">
        <v>328</v>
      </c>
      <c r="D41" s="9" t="s">
        <v>391</v>
      </c>
      <c r="E41" s="9" t="s">
        <v>392</v>
      </c>
      <c r="F41" s="44" t="s">
        <v>393</v>
      </c>
      <c r="G41" s="17" t="n">
        <v>-0.0298</v>
      </c>
      <c r="H41" s="50" t="n">
        <f aca="false">Debt!$C$131</f>
        <v>-0.0297906525591303</v>
      </c>
      <c r="I41" s="46" t="n">
        <f aca="false">H41-G41</f>
        <v>9.34744086969475E-006</v>
      </c>
      <c r="J41" s="47" t="n">
        <v>5.0001E-005</v>
      </c>
      <c r="K41" s="38" t="str">
        <f aca="false">IF(ISERROR(I41),"FAIL",IF(ABS(I41)&lt;=J41,"PASS","FAIL"))</f>
        <v>PASS</v>
      </c>
    </row>
    <row r="42" customFormat="false" ht="15" hidden="false" customHeight="false" outlineLevel="0" collapsed="false">
      <c r="B42" s="43" t="n">
        <v>32</v>
      </c>
      <c r="C42" s="9" t="s">
        <v>347</v>
      </c>
      <c r="D42" s="9" t="s">
        <v>394</v>
      </c>
      <c r="E42" s="9" t="s">
        <v>395</v>
      </c>
      <c r="F42" s="44" t="s">
        <v>396</v>
      </c>
      <c r="G42" s="17" t="n">
        <v>0.0116</v>
      </c>
      <c r="H42" s="50" t="n">
        <f aca="false">Scenarios!$C$149</f>
        <v>0.0116062523389709</v>
      </c>
      <c r="I42" s="46" t="n">
        <f aca="false">H42-G42</f>
        <v>6.25233897094332E-006</v>
      </c>
      <c r="J42" s="47" t="n">
        <v>5.0001E-005</v>
      </c>
      <c r="K42" s="38" t="str">
        <f aca="false">IF(ISERROR(I42),"FAIL",IF(ABS(I42)&lt;=J42,"PASS","FAIL"))</f>
        <v>PASS</v>
      </c>
    </row>
    <row r="43" customFormat="false" ht="15" hidden="false" customHeight="false" outlineLevel="0" collapsed="false">
      <c r="B43" s="43" t="n">
        <v>33</v>
      </c>
      <c r="C43" s="9" t="s">
        <v>347</v>
      </c>
      <c r="D43" s="9" t="s">
        <v>397</v>
      </c>
      <c r="E43" s="9" t="s">
        <v>398</v>
      </c>
      <c r="F43" s="44" t="s">
        <v>399</v>
      </c>
      <c r="G43" s="10" t="n">
        <v>529.5</v>
      </c>
      <c r="H43" s="49" t="n">
        <f aca="false">Scenarios!$C$144</f>
        <v>529.489081697639</v>
      </c>
      <c r="I43" s="46" t="n">
        <f aca="false">H43-G43</f>
        <v>-0.0109183023614605</v>
      </c>
      <c r="J43" s="47" t="n">
        <v>0.050000001</v>
      </c>
      <c r="K43" s="38" t="str">
        <f aca="false">IF(ISERROR(I43),"FAIL",IF(ABS(I43)&lt;=J43,"PASS","FAIL"))</f>
        <v>PASS</v>
      </c>
    </row>
    <row r="44" customFormat="false" ht="15" hidden="false" customHeight="false" outlineLevel="0" collapsed="false">
      <c r="B44" s="43" t="n">
        <v>34</v>
      </c>
      <c r="C44" s="9" t="s">
        <v>328</v>
      </c>
      <c r="D44" s="9" t="s">
        <v>400</v>
      </c>
      <c r="E44" s="9" t="s">
        <v>401</v>
      </c>
      <c r="F44" s="44" t="s">
        <v>379</v>
      </c>
      <c r="G44" s="10" t="n">
        <v>-328.9</v>
      </c>
      <c r="H44" s="49" t="n">
        <f aca="false">Debt!$C$115</f>
        <v>-328.875846858379</v>
      </c>
      <c r="I44" s="46" t="n">
        <f aca="false">H44-G44</f>
        <v>0.0241531416205589</v>
      </c>
      <c r="J44" s="47" t="n">
        <v>0.050000001</v>
      </c>
      <c r="K44" s="38" t="str">
        <f aca="false">IF(ISERROR(I44),"FAIL",IF(ABS(I44)&lt;=J44,"PASS","FAIL"))</f>
        <v>PASS</v>
      </c>
    </row>
    <row r="45" customFormat="false" ht="15" hidden="false" customHeight="false" outlineLevel="0" collapsed="false">
      <c r="B45" s="43" t="n">
        <v>35</v>
      </c>
      <c r="C45" s="9" t="s">
        <v>402</v>
      </c>
      <c r="D45" s="9" t="s">
        <v>403</v>
      </c>
      <c r="E45" s="9" t="s">
        <v>404</v>
      </c>
      <c r="F45" s="44" t="s">
        <v>405</v>
      </c>
      <c r="G45" s="10" t="n">
        <v>308.2</v>
      </c>
      <c r="H45" s="49" t="n">
        <f aca="false">Valuation!$C$25</f>
        <v>308.22076639884</v>
      </c>
      <c r="I45" s="46" t="n">
        <f aca="false">H45-G45</f>
        <v>0.0207663988396121</v>
      </c>
      <c r="J45" s="47" t="n">
        <v>0.050000001</v>
      </c>
      <c r="K45" s="38" t="str">
        <f aca="false">IF(ISERROR(I45),"FAIL",IF(ABS(I45)&lt;=J45,"PASS","FAIL"))</f>
        <v>PASS</v>
      </c>
    </row>
    <row r="46" customFormat="false" ht="15" hidden="false" customHeight="false" outlineLevel="0" collapsed="false">
      <c r="B46" s="43" t="n">
        <v>36</v>
      </c>
      <c r="C46" s="9" t="s">
        <v>402</v>
      </c>
      <c r="D46" s="9" t="s">
        <v>406</v>
      </c>
      <c r="E46" s="9" t="s">
        <v>407</v>
      </c>
      <c r="F46" s="44" t="s">
        <v>408</v>
      </c>
      <c r="G46" s="12" t="n">
        <v>0.342</v>
      </c>
      <c r="H46" s="51" t="n">
        <f aca="false">Valuation!$C$26</f>
        <v>0.342467518220933</v>
      </c>
      <c r="I46" s="46" t="n">
        <f aca="false">H46-G46</f>
        <v>0.000467518220932883</v>
      </c>
      <c r="J46" s="47" t="n">
        <v>0.000500001</v>
      </c>
      <c r="K46" s="38" t="str">
        <f aca="false">IF(ISERROR(I46),"FAIL",IF(ABS(I46)&lt;=J46,"PASS","FAIL"))</f>
        <v>PASS</v>
      </c>
    </row>
    <row r="47" customFormat="false" ht="15" hidden="false" customHeight="false" outlineLevel="0" collapsed="false">
      <c r="B47" s="43" t="n">
        <v>37</v>
      </c>
      <c r="C47" s="9" t="s">
        <v>409</v>
      </c>
      <c r="D47" s="9" t="s">
        <v>410</v>
      </c>
      <c r="E47" s="9" t="s">
        <v>87</v>
      </c>
      <c r="F47" s="44" t="s">
        <v>411</v>
      </c>
      <c r="G47" s="48" t="n">
        <v>900</v>
      </c>
      <c r="H47" s="22" t="n">
        <f aca="false">Inputs!$C$64</f>
        <v>900</v>
      </c>
      <c r="I47" s="46" t="n">
        <f aca="false">H47-G47</f>
        <v>0</v>
      </c>
      <c r="J47" s="47" t="n">
        <v>0.500000001</v>
      </c>
      <c r="K47" s="38" t="str">
        <f aca="false">IF(ISERROR(I47),"FAIL",IF(ABS(I47)&lt;=J47,"PASS","FAIL"))</f>
        <v>PASS</v>
      </c>
    </row>
    <row r="48" customFormat="false" ht="15" hidden="false" customHeight="false" outlineLevel="0" collapsed="false">
      <c r="B48" s="43" t="n">
        <v>38</v>
      </c>
      <c r="C48" s="9" t="s">
        <v>402</v>
      </c>
      <c r="D48" s="9" t="s">
        <v>412</v>
      </c>
      <c r="E48" s="9" t="s">
        <v>413</v>
      </c>
      <c r="F48" s="44" t="s">
        <v>414</v>
      </c>
      <c r="G48" s="10" t="n">
        <v>50.8</v>
      </c>
      <c r="H48" s="49" t="n">
        <f aca="false">Valuation!$C$6</f>
        <v>50.7840448</v>
      </c>
      <c r="I48" s="46" t="n">
        <f aca="false">H48-G48</f>
        <v>-0.0159551999999934</v>
      </c>
      <c r="J48" s="47" t="n">
        <v>0.050000001</v>
      </c>
      <c r="K48" s="38" t="str">
        <f aca="false">IF(ISERROR(I48),"FAIL",IF(ABS(I48)&lt;=J48,"PASS","FAIL"))</f>
        <v>PASS</v>
      </c>
    </row>
    <row r="49" customFormat="false" ht="15" hidden="false" customHeight="false" outlineLevel="0" collapsed="false">
      <c r="B49" s="43" t="n">
        <v>39</v>
      </c>
      <c r="C49" s="9" t="s">
        <v>402</v>
      </c>
      <c r="D49" s="9" t="s">
        <v>415</v>
      </c>
      <c r="E49" s="9" t="s">
        <v>416</v>
      </c>
      <c r="F49" s="44" t="s">
        <v>417</v>
      </c>
      <c r="G49" s="17" t="n">
        <v>0.0564</v>
      </c>
      <c r="H49" s="50" t="n">
        <f aca="false">Valuation!$C$7</f>
        <v>0.0564267164444445</v>
      </c>
      <c r="I49" s="46" t="n">
        <f aca="false">H49-G49</f>
        <v>2.67164444444495E-005</v>
      </c>
      <c r="J49" s="47" t="n">
        <v>5.0001E-005</v>
      </c>
      <c r="K49" s="38" t="str">
        <f aca="false">IF(ISERROR(I49),"FAIL",IF(ABS(I49)&lt;=J49,"PASS","FAIL"))</f>
        <v>PASS</v>
      </c>
    </row>
    <row r="50" customFormat="false" ht="15" hidden="false" customHeight="false" outlineLevel="0" collapsed="false">
      <c r="B50" s="43" t="n">
        <v>40</v>
      </c>
      <c r="C50" s="9" t="s">
        <v>402</v>
      </c>
      <c r="D50" s="9" t="s">
        <v>418</v>
      </c>
      <c r="E50" s="9" t="s">
        <v>419</v>
      </c>
      <c r="F50" s="44" t="s">
        <v>420</v>
      </c>
      <c r="G50" s="10" t="n">
        <v>923.3</v>
      </c>
      <c r="H50" s="49" t="n">
        <f aca="false">Valuation!$C$8</f>
        <v>923.346269090909</v>
      </c>
      <c r="I50" s="46" t="n">
        <f aca="false">H50-G50</f>
        <v>0.0462690909091634</v>
      </c>
      <c r="J50" s="47" t="n">
        <v>0.050000001</v>
      </c>
      <c r="K50" s="38" t="str">
        <f aca="false">IF(ISERROR(I50),"FAIL",IF(ABS(I50)&lt;=J50,"PASS","FAIL"))</f>
        <v>PASS</v>
      </c>
    </row>
    <row r="51" customFormat="false" ht="15" hidden="false" customHeight="false" outlineLevel="0" collapsed="false">
      <c r="B51" s="43" t="n">
        <v>41</v>
      </c>
      <c r="C51" s="9" t="s">
        <v>402</v>
      </c>
      <c r="D51" s="9" t="s">
        <v>421</v>
      </c>
      <c r="E51" s="9" t="s">
        <v>422</v>
      </c>
      <c r="F51" s="44" t="s">
        <v>423</v>
      </c>
      <c r="G51" s="10" t="n">
        <v>1307</v>
      </c>
      <c r="H51" s="49" t="n">
        <f aca="false">Valuation!$C$10</f>
        <v>1306.977638016</v>
      </c>
      <c r="I51" s="46" t="n">
        <f aca="false">H51-G51</f>
        <v>-0.0223619840000993</v>
      </c>
      <c r="J51" s="47" t="n">
        <v>0.050000001</v>
      </c>
      <c r="K51" s="38" t="str">
        <f aca="false">IF(ISERROR(I51),"FAIL",IF(ABS(I51)&lt;=J51,"PASS","FAIL"))</f>
        <v>PASS</v>
      </c>
    </row>
    <row r="52" customFormat="false" ht="15" hidden="false" customHeight="false" outlineLevel="0" collapsed="false">
      <c r="B52" s="43" t="n">
        <v>42</v>
      </c>
      <c r="C52" s="9" t="s">
        <v>402</v>
      </c>
      <c r="D52" s="9" t="s">
        <v>424</v>
      </c>
      <c r="E52" s="9" t="s">
        <v>245</v>
      </c>
      <c r="F52" s="44" t="s">
        <v>425</v>
      </c>
      <c r="G52" s="10" t="n">
        <v>995.9</v>
      </c>
      <c r="H52" s="49" t="n">
        <f aca="false">Valuation!$C$14</f>
        <v>995.868550555025</v>
      </c>
      <c r="I52" s="46" t="n">
        <f aca="false">H52-G52</f>
        <v>-0.031449444974669</v>
      </c>
      <c r="J52" s="47" t="n">
        <v>0.050000001</v>
      </c>
      <c r="K52" s="38" t="str">
        <f aca="false">IF(ISERROR(I52),"FAIL",IF(ABS(I52)&lt;=J52,"PASS","FAIL"))</f>
        <v>PASS</v>
      </c>
    </row>
    <row r="53" customFormat="false" ht="15" hidden="false" customHeight="false" outlineLevel="0" collapsed="false">
      <c r="B53" s="43" t="n">
        <v>43</v>
      </c>
      <c r="C53" s="9" t="s">
        <v>402</v>
      </c>
      <c r="D53" s="9" t="s">
        <v>426</v>
      </c>
      <c r="E53" s="9" t="s">
        <v>246</v>
      </c>
      <c r="F53" s="44" t="s">
        <v>427</v>
      </c>
      <c r="G53" s="10" t="n">
        <v>1054.5</v>
      </c>
      <c r="H53" s="49" t="n">
        <f aca="false">Valuation!$C$15</f>
        <v>1054.52735548237</v>
      </c>
      <c r="I53" s="46" t="n">
        <f aca="false">H53-G53</f>
        <v>0.0273554823668292</v>
      </c>
      <c r="J53" s="47" t="n">
        <v>0.050000001</v>
      </c>
      <c r="K53" s="38" t="str">
        <f aca="false">IF(ISERROR(I53),"FAIL",IF(ABS(I53)&lt;=J53,"PASS","FAIL"))</f>
        <v>PASS</v>
      </c>
    </row>
    <row r="54" customFormat="false" ht="15" hidden="false" customHeight="false" outlineLevel="0" collapsed="false">
      <c r="B54" s="43" t="n">
        <v>44</v>
      </c>
      <c r="C54" s="9" t="s">
        <v>402</v>
      </c>
      <c r="D54" s="9" t="s">
        <v>428</v>
      </c>
      <c r="E54" s="9" t="s">
        <v>247</v>
      </c>
      <c r="F54" s="44" t="s">
        <v>429</v>
      </c>
      <c r="G54" s="10" t="n">
        <v>726.2</v>
      </c>
      <c r="H54" s="49" t="n">
        <f aca="false">Valuation!$C$16</f>
        <v>726.157926256891</v>
      </c>
      <c r="I54" s="46" t="n">
        <f aca="false">H54-G54</f>
        <v>-0.042073743109313</v>
      </c>
      <c r="J54" s="47" t="n">
        <v>0.050000001</v>
      </c>
      <c r="K54" s="38" t="str">
        <f aca="false">IF(ISERROR(I54),"FAIL",IF(ABS(I54)&lt;=J54,"PASS","FAIL"))</f>
        <v>PASS</v>
      </c>
    </row>
    <row r="55" customFormat="false" ht="15" hidden="false" customHeight="false" outlineLevel="0" collapsed="false">
      <c r="B55" s="43" t="n">
        <v>45</v>
      </c>
      <c r="C55" s="9" t="s">
        <v>402</v>
      </c>
      <c r="D55" s="9" t="s">
        <v>430</v>
      </c>
      <c r="E55" s="9" t="s">
        <v>248</v>
      </c>
      <c r="F55" s="44" t="s">
        <v>431</v>
      </c>
      <c r="G55" s="10" t="n">
        <v>557.1</v>
      </c>
      <c r="H55" s="49" t="n">
        <f aca="false">Valuation!$C$17</f>
        <v>557.076730406231</v>
      </c>
      <c r="I55" s="46" t="n">
        <f aca="false">H55-G55</f>
        <v>-0.0232695937689869</v>
      </c>
      <c r="J55" s="47" t="n">
        <v>0.050000001</v>
      </c>
      <c r="K55" s="38" t="str">
        <f aca="false">IF(ISERROR(I55),"FAIL",IF(ABS(I55)&lt;=J55,"PASS","FAIL"))</f>
        <v>PASS</v>
      </c>
    </row>
    <row r="56" customFormat="false" ht="15" hidden="false" customHeight="false" outlineLevel="0" collapsed="false">
      <c r="B56" s="43" t="n">
        <v>46</v>
      </c>
      <c r="C56" s="9" t="s">
        <v>402</v>
      </c>
      <c r="D56" s="9" t="s">
        <v>432</v>
      </c>
      <c r="E56" s="9" t="s">
        <v>433</v>
      </c>
      <c r="F56" s="44" t="s">
        <v>434</v>
      </c>
      <c r="G56" s="10" t="n">
        <v>1616.7</v>
      </c>
      <c r="H56" s="49" t="n">
        <f aca="false">Valuation!$C$11</f>
        <v>1616.72294199936</v>
      </c>
      <c r="I56" s="46" t="n">
        <f aca="false">H56-G56</f>
        <v>0.0229419993600004</v>
      </c>
      <c r="J56" s="47" t="n">
        <v>0.050000001</v>
      </c>
      <c r="K56" s="38" t="str">
        <f aca="false">IF(ISERROR(I56),"FAIL",IF(ABS(I56)&lt;=J56,"PASS","FAIL"))</f>
        <v>PASS</v>
      </c>
    </row>
    <row r="57" customFormat="false" ht="15" hidden="false" customHeight="false" outlineLevel="0" collapsed="false">
      <c r="B57" s="43" t="n">
        <v>47</v>
      </c>
      <c r="C57" s="9" t="s">
        <v>328</v>
      </c>
      <c r="D57" s="9" t="s">
        <v>435</v>
      </c>
      <c r="E57" s="9" t="s">
        <v>180</v>
      </c>
      <c r="F57" s="44" t="s">
        <v>436</v>
      </c>
      <c r="G57" s="10" t="n">
        <v>495</v>
      </c>
      <c r="H57" s="49" t="n">
        <f aca="false">Debt!$C$6</f>
        <v>495</v>
      </c>
      <c r="I57" s="46" t="n">
        <f aca="false">H57-G57</f>
        <v>0</v>
      </c>
      <c r="J57" s="47" t="n">
        <v>0.050000001</v>
      </c>
      <c r="K57" s="38" t="str">
        <f aca="false">IF(ISERROR(I57),"FAIL",IF(ABS(I57)&lt;=J57,"PASS","FAIL"))</f>
        <v>PASS</v>
      </c>
    </row>
    <row r="58" customFormat="false" ht="15" hidden="false" customHeight="false" outlineLevel="0" collapsed="false">
      <c r="B58" s="43" t="n">
        <v>48</v>
      </c>
      <c r="C58" s="9" t="s">
        <v>328</v>
      </c>
      <c r="D58" s="9" t="s">
        <v>437</v>
      </c>
      <c r="E58" s="9" t="s">
        <v>438</v>
      </c>
      <c r="F58" s="44" t="s">
        <v>439</v>
      </c>
      <c r="G58" s="10" t="n">
        <v>444.1</v>
      </c>
      <c r="H58" s="49" t="n">
        <f aca="false">Debt!$C$8</f>
        <v>444.140876065435</v>
      </c>
      <c r="I58" s="46" t="n">
        <f aca="false">H58-G58</f>
        <v>0.0408760654349294</v>
      </c>
      <c r="J58" s="47" t="n">
        <v>0.050000001</v>
      </c>
      <c r="K58" s="38" t="str">
        <f aca="false">IF(ISERROR(I58),"FAIL",IF(ABS(I58)&lt;=J58,"PASS","FAIL"))</f>
        <v>PASS</v>
      </c>
    </row>
    <row r="59" customFormat="false" ht="15" hidden="false" customHeight="false" outlineLevel="0" collapsed="false">
      <c r="B59" s="43" t="n">
        <v>49</v>
      </c>
      <c r="C59" s="9" t="s">
        <v>328</v>
      </c>
      <c r="D59" s="9" t="s">
        <v>440</v>
      </c>
      <c r="E59" s="9" t="s">
        <v>206</v>
      </c>
      <c r="F59" s="44" t="s">
        <v>441</v>
      </c>
      <c r="G59" s="10" t="n">
        <v>427.9</v>
      </c>
      <c r="H59" s="49" t="n">
        <f aca="false">Debt!$C$35</f>
        <v>427.95</v>
      </c>
      <c r="I59" s="46" t="n">
        <f aca="false">H59-G59</f>
        <v>0.0499999999999545</v>
      </c>
      <c r="J59" s="47" t="n">
        <v>0.050000001</v>
      </c>
      <c r="K59" s="38" t="str">
        <f aca="false">IF(ISERROR(I59),"FAIL",IF(ABS(I59)&lt;=J59,"PASS","FAIL"))</f>
        <v>PASS</v>
      </c>
    </row>
    <row r="60" customFormat="false" ht="15" hidden="false" customHeight="false" outlineLevel="0" collapsed="false">
      <c r="B60" s="43" t="n">
        <v>50</v>
      </c>
      <c r="C60" s="9" t="s">
        <v>328</v>
      </c>
      <c r="D60" s="9" t="s">
        <v>442</v>
      </c>
      <c r="E60" s="9" t="s">
        <v>443</v>
      </c>
      <c r="F60" s="44" t="s">
        <v>444</v>
      </c>
      <c r="G60" s="10" t="n">
        <v>672.7</v>
      </c>
      <c r="H60" s="49" t="n">
        <f aca="false">Debt!$C$16</f>
        <v>672.678203553656</v>
      </c>
      <c r="I60" s="46" t="n">
        <f aca="false">H60-G60</f>
        <v>-0.0217964463445242</v>
      </c>
      <c r="J60" s="47" t="n">
        <v>0.050000001</v>
      </c>
      <c r="K60" s="38" t="str">
        <f aca="false">IF(ISERROR(I60),"FAIL",IF(ABS(I60)&lt;=J60,"PASS","FAIL"))</f>
        <v>PASS</v>
      </c>
    </row>
    <row r="61" customFormat="false" ht="15" hidden="false" customHeight="false" outlineLevel="0" collapsed="false">
      <c r="B61" s="43" t="n">
        <v>51</v>
      </c>
      <c r="C61" s="9" t="s">
        <v>328</v>
      </c>
      <c r="D61" s="9" t="s">
        <v>445</v>
      </c>
      <c r="E61" s="9" t="s">
        <v>446</v>
      </c>
      <c r="F61" s="44" t="s">
        <v>447</v>
      </c>
      <c r="G61" s="10" t="n">
        <v>116.4</v>
      </c>
      <c r="H61" s="49" t="n">
        <f aca="false">Debt!$C$81</f>
        <v>116.429322431369</v>
      </c>
      <c r="I61" s="46" t="n">
        <f aca="false">H61-G61</f>
        <v>0.0293224313692519</v>
      </c>
      <c r="J61" s="47" t="n">
        <v>0.050000001</v>
      </c>
      <c r="K61" s="38" t="str">
        <f aca="false">IF(ISERROR(I61),"FAIL",IF(ABS(I61)&lt;=J61,"PASS","FAIL"))</f>
        <v>PASS</v>
      </c>
    </row>
    <row r="62" customFormat="false" ht="15" hidden="false" customHeight="false" outlineLevel="0" collapsed="false">
      <c r="B62" s="43" t="n">
        <v>52</v>
      </c>
      <c r="C62" s="9" t="s">
        <v>448</v>
      </c>
      <c r="D62" s="9" t="s">
        <v>449</v>
      </c>
      <c r="E62" s="9" t="s">
        <v>450</v>
      </c>
      <c r="F62" s="44" t="s">
        <v>451</v>
      </c>
      <c r="G62" s="12" t="n">
        <v>0.11</v>
      </c>
      <c r="H62" s="51" t="n">
        <f aca="false">Thresholds!$C$6</f>
        <v>0.110127652366738</v>
      </c>
      <c r="I62" s="46" t="n">
        <f aca="false">H62-G62</f>
        <v>0.000127652366737896</v>
      </c>
      <c r="J62" s="47" t="n">
        <v>0.000500001</v>
      </c>
      <c r="K62" s="38" t="str">
        <f aca="false">IF(ISERROR(I62),"FAIL",IF(ABS(I62)&lt;=J62,"PASS","FAIL"))</f>
        <v>PASS</v>
      </c>
    </row>
    <row r="63" customFormat="false" ht="15" hidden="false" customHeight="false" outlineLevel="0" collapsed="false">
      <c r="B63" s="43" t="n">
        <v>53</v>
      </c>
      <c r="C63" s="9" t="s">
        <v>448</v>
      </c>
      <c r="D63" s="9" t="s">
        <v>452</v>
      </c>
      <c r="E63" s="9" t="s">
        <v>453</v>
      </c>
      <c r="F63" s="44" t="s">
        <v>454</v>
      </c>
      <c r="G63" s="12" t="n">
        <v>0.04</v>
      </c>
      <c r="H63" s="51" t="n">
        <f aca="false">Thresholds!$C$92</f>
        <v>0.0399926393014028</v>
      </c>
      <c r="I63" s="46" t="n">
        <f aca="false">H63-G63</f>
        <v>-7.36069859716415E-006</v>
      </c>
      <c r="J63" s="47" t="n">
        <v>0.000500001</v>
      </c>
      <c r="K63" s="38" t="str">
        <f aca="false">IF(ISERROR(I63),"FAIL",IF(ABS(I63)&lt;=J63,"PASS","FAIL"))</f>
        <v>PASS</v>
      </c>
    </row>
    <row r="64" customFormat="false" ht="15" hidden="false" customHeight="false" outlineLevel="0" collapsed="false">
      <c r="B64" s="43" t="n">
        <v>54</v>
      </c>
      <c r="C64" s="9" t="s">
        <v>448</v>
      </c>
      <c r="D64" s="9" t="s">
        <v>455</v>
      </c>
      <c r="E64" s="9" t="s">
        <v>456</v>
      </c>
      <c r="F64" s="44" t="s">
        <v>457</v>
      </c>
      <c r="G64" s="14" t="n">
        <v>1.56</v>
      </c>
      <c r="H64" s="23" t="n">
        <f aca="false">Thresholds!$C$178</f>
        <v>1.555590028086</v>
      </c>
      <c r="I64" s="46" t="n">
        <f aca="false">H64-G64</f>
        <v>-0.00440997191399695</v>
      </c>
      <c r="J64" s="47" t="n">
        <v>0.005000001</v>
      </c>
      <c r="K64" s="38" t="str">
        <f aca="false">IF(ISERROR(I64),"FAIL",IF(ABS(I64)&lt;=J64,"PASS","FAIL"))</f>
        <v>PASS</v>
      </c>
    </row>
    <row r="65" customFormat="false" ht="15" hidden="false" customHeight="false" outlineLevel="0" collapsed="false">
      <c r="B65" s="43" t="n">
        <v>55</v>
      </c>
      <c r="C65" s="9" t="s">
        <v>448</v>
      </c>
      <c r="D65" s="9" t="s">
        <v>458</v>
      </c>
      <c r="E65" s="9" t="s">
        <v>459</v>
      </c>
      <c r="F65" s="44" t="s">
        <v>460</v>
      </c>
      <c r="G65" s="12" t="n">
        <v>0.879</v>
      </c>
      <c r="H65" s="51" t="n">
        <f aca="false">Thresholds!$C$264</f>
        <v>0.879433548555782</v>
      </c>
      <c r="I65" s="46" t="n">
        <f aca="false">H65-G65</f>
        <v>0.000433548555781593</v>
      </c>
      <c r="J65" s="47" t="n">
        <v>0.000500001</v>
      </c>
      <c r="K65" s="38" t="str">
        <f aca="false">IF(ISERROR(I65),"FAIL",IF(ABS(I65)&lt;=J65,"PASS","FAIL"))</f>
        <v>PASS</v>
      </c>
    </row>
    <row r="66" customFormat="false" ht="15" hidden="false" customHeight="false" outlineLevel="0" collapsed="false">
      <c r="B66" s="43" t="n">
        <v>56</v>
      </c>
      <c r="C66" s="9" t="s">
        <v>448</v>
      </c>
      <c r="D66" s="9" t="s">
        <v>461</v>
      </c>
      <c r="E66" s="9" t="s">
        <v>462</v>
      </c>
      <c r="F66" s="44" t="s">
        <v>463</v>
      </c>
      <c r="G66" s="48" t="n">
        <v>246</v>
      </c>
      <c r="H66" s="22" t="n">
        <f aca="false">Thresholds!$C$350</f>
        <v>246.160386087976</v>
      </c>
      <c r="I66" s="46" t="n">
        <f aca="false">H66-G66</f>
        <v>0.160386087975809</v>
      </c>
      <c r="J66" s="47" t="n">
        <v>0.500000001</v>
      </c>
      <c r="K66" s="38" t="str">
        <f aca="false">IF(ISERROR(I66),"FAIL",IF(ABS(I66)&lt;=J66,"PASS","FAIL"))</f>
        <v>PASS</v>
      </c>
    </row>
    <row r="67" customFormat="false" ht="15" hidden="false" customHeight="false" outlineLevel="0" collapsed="false">
      <c r="B67" s="43" t="n">
        <v>57</v>
      </c>
      <c r="C67" s="9" t="s">
        <v>448</v>
      </c>
      <c r="D67" s="9" t="s">
        <v>464</v>
      </c>
      <c r="E67" s="9" t="s">
        <v>465</v>
      </c>
      <c r="F67" s="44" t="s">
        <v>466</v>
      </c>
      <c r="G67" s="17" t="n">
        <v>0.0636</v>
      </c>
      <c r="H67" s="50" t="n">
        <f aca="false">Thresholds!$C$436</f>
        <v>0.0635903461519973</v>
      </c>
      <c r="I67" s="46" t="n">
        <f aca="false">H67-G67</f>
        <v>-9.65384800270808E-006</v>
      </c>
      <c r="J67" s="47" t="n">
        <v>5.0001E-005</v>
      </c>
      <c r="K67" s="38" t="str">
        <f aca="false">IF(ISERROR(I67),"FAIL",IF(ABS(I67)&lt;=J67,"PASS","FAIL"))</f>
        <v>PASS</v>
      </c>
    </row>
    <row r="68" customFormat="false" ht="15" hidden="false" customHeight="false" outlineLevel="0" collapsed="false">
      <c r="B68" s="43" t="n">
        <v>58</v>
      </c>
      <c r="C68" s="9" t="s">
        <v>448</v>
      </c>
      <c r="D68" s="9" t="s">
        <v>467</v>
      </c>
      <c r="E68" s="9" t="s">
        <v>468</v>
      </c>
      <c r="F68" s="44" t="s">
        <v>469</v>
      </c>
      <c r="G68" s="10" t="n">
        <v>909.6</v>
      </c>
      <c r="H68" s="49" t="n">
        <f aca="false">Thresholds!$C$522</f>
        <v>909.608962398473</v>
      </c>
      <c r="I68" s="46" t="n">
        <f aca="false">H68-G68</f>
        <v>0.00896239847304514</v>
      </c>
      <c r="J68" s="47" t="n">
        <v>0.050000001</v>
      </c>
      <c r="K68" s="38" t="str">
        <f aca="false">IF(ISERROR(I68),"FAIL",IF(ABS(I68)&lt;=J68,"PASS","FAIL"))</f>
        <v>PASS</v>
      </c>
    </row>
    <row r="69" customFormat="false" ht="15" hidden="false" customHeight="false" outlineLevel="0" collapsed="false">
      <c r="B69" s="43" t="n">
        <v>59</v>
      </c>
      <c r="C69" s="9" t="s">
        <v>448</v>
      </c>
      <c r="D69" s="9" t="s">
        <v>470</v>
      </c>
      <c r="E69" s="9" t="s">
        <v>471</v>
      </c>
      <c r="F69" s="44" t="s">
        <v>472</v>
      </c>
      <c r="G69" s="10" t="n">
        <v>652.4</v>
      </c>
      <c r="H69" s="49" t="n">
        <f aca="false">Thresholds!$C$608</f>
        <v>652.410329974929</v>
      </c>
      <c r="I69" s="46" t="n">
        <f aca="false">H69-G69</f>
        <v>0.0103299749292773</v>
      </c>
      <c r="J69" s="47" t="n">
        <v>0.050000001</v>
      </c>
      <c r="K69" s="38" t="str">
        <f aca="false">IF(ISERROR(I69),"FAIL",IF(ABS(I69)&lt;=J69,"PASS","FAIL"))</f>
        <v>PASS</v>
      </c>
    </row>
    <row r="70" customFormat="false" ht="15" hidden="false" customHeight="false" outlineLevel="0" collapsed="false">
      <c r="B70" s="43" t="n">
        <v>60</v>
      </c>
      <c r="C70" s="9" t="s">
        <v>328</v>
      </c>
      <c r="D70" s="9" t="s">
        <v>473</v>
      </c>
      <c r="E70" s="9" t="s">
        <v>474</v>
      </c>
      <c r="F70" s="44" t="s">
        <v>475</v>
      </c>
      <c r="G70" s="10" t="n">
        <v>328.9</v>
      </c>
      <c r="H70" s="49" t="n">
        <f aca="false">Debt!$C$401</f>
        <v>328.875846858379</v>
      </c>
      <c r="I70" s="46" t="n">
        <f aca="false">H70-G70</f>
        <v>-0.0241531416205589</v>
      </c>
      <c r="J70" s="47" t="n">
        <v>0.050000001</v>
      </c>
      <c r="K70" s="38" t="str">
        <f aca="false">IF(ISERROR(I70),"FAIL",IF(ABS(I70)&lt;=J70,"PASS","FAIL"))</f>
        <v>PASS</v>
      </c>
    </row>
    <row r="71" customFormat="false" ht="30" hidden="false" customHeight="true" outlineLevel="0" collapsed="false">
      <c r="B71" s="43" t="n">
        <v>61</v>
      </c>
      <c r="C71" s="9" t="s">
        <v>300</v>
      </c>
      <c r="D71" s="9" t="s">
        <v>476</v>
      </c>
      <c r="E71" s="52" t="s">
        <v>477</v>
      </c>
      <c r="F71" s="44" t="s">
        <v>478</v>
      </c>
      <c r="G71" s="47" t="n">
        <v>0</v>
      </c>
      <c r="H71" s="46" t="n">
        <f aca="false">Model!D50+NPV(Model!$C$51,Model!$E$50:$N$50)</f>
        <v>1.15051079774275E-010</v>
      </c>
      <c r="I71" s="46" t="n">
        <f aca="false">H71-G71</f>
        <v>1.15051079774275E-010</v>
      </c>
      <c r="J71" s="53" t="n">
        <v>1E-005</v>
      </c>
      <c r="K71" s="38" t="str">
        <f aca="false">IF(ISERROR(I71),"FAIL",IF(ABS(I71)&lt;=J71,"PASS","FAIL"))</f>
        <v>PASS</v>
      </c>
    </row>
    <row r="72" customFormat="false" ht="30" hidden="false" customHeight="true" outlineLevel="0" collapsed="false">
      <c r="B72" s="43" t="n">
        <v>62</v>
      </c>
      <c r="C72" s="9" t="s">
        <v>328</v>
      </c>
      <c r="D72" s="9" t="s">
        <v>476</v>
      </c>
      <c r="E72" s="52" t="s">
        <v>479</v>
      </c>
      <c r="F72" s="44" t="s">
        <v>478</v>
      </c>
      <c r="G72" s="47" t="n">
        <v>0</v>
      </c>
      <c r="H72" s="46" t="n">
        <f aca="false">Debt!D32+NPV(Debt!$C$33,Debt!$E$32:$N$32)</f>
        <v>0</v>
      </c>
      <c r="I72" s="46" t="n">
        <f aca="false">H72-G72</f>
        <v>0</v>
      </c>
      <c r="J72" s="53" t="n">
        <v>1E-005</v>
      </c>
      <c r="K72" s="38" t="str">
        <f aca="false">IF(ISERROR(I72),"FAIL",IF(ABS(I72)&lt;=J72,"PASS","FAIL"))</f>
        <v>PASS</v>
      </c>
    </row>
    <row r="73" customFormat="false" ht="15" hidden="false" customHeight="true" outlineLevel="0" collapsed="false">
      <c r="B73" s="43" t="n">
        <v>63</v>
      </c>
      <c r="C73" s="9" t="s">
        <v>328</v>
      </c>
      <c r="D73" s="9" t="s">
        <v>476</v>
      </c>
      <c r="E73" s="52" t="s">
        <v>480</v>
      </c>
      <c r="F73" s="44" t="s">
        <v>478</v>
      </c>
      <c r="G73" s="47" t="n">
        <v>0</v>
      </c>
      <c r="H73" s="46" t="n">
        <f aca="false">MIN(0,MIN(Debt!$E$25:$N$25))</f>
        <v>0</v>
      </c>
      <c r="I73" s="46" t="n">
        <f aca="false">H73-G73</f>
        <v>0</v>
      </c>
      <c r="J73" s="53" t="n">
        <v>1E-009</v>
      </c>
      <c r="K73" s="38" t="str">
        <f aca="false">IF(ISERROR(I73),"FAIL",IF(ABS(I73)&lt;=J73,"PASS","FAIL"))</f>
        <v>PASS</v>
      </c>
    </row>
    <row r="74" customFormat="false" ht="30" hidden="false" customHeight="true" outlineLevel="0" collapsed="false">
      <c r="B74" s="43" t="n">
        <v>64</v>
      </c>
      <c r="C74" s="9" t="s">
        <v>300</v>
      </c>
      <c r="D74" s="9" t="s">
        <v>476</v>
      </c>
      <c r="E74" s="52" t="s">
        <v>481</v>
      </c>
      <c r="F74" s="44" t="s">
        <v>478</v>
      </c>
      <c r="G74" s="47" t="n">
        <v>0</v>
      </c>
      <c r="H74" s="46" t="n">
        <f aca="false">SUM(Model!$D$50:$N$50)-(SUM(Model!$E$34:$N$34)-SUM(Model!$E$35:$N$35)-SUM(Model!$E$36:$N$36)-SUM(Model!$E$37:$N$37)+Model!$C$46-Model!$C$47)</f>
        <v>0</v>
      </c>
      <c r="I74" s="46" t="n">
        <f aca="false">H74-G74</f>
        <v>0</v>
      </c>
      <c r="J74" s="53" t="n">
        <v>1E-007</v>
      </c>
      <c r="K74" s="38" t="str">
        <f aca="false">IF(ISERROR(I74),"FAIL",IF(ABS(I74)&lt;=J74,"PASS","FAIL"))</f>
        <v>PASS</v>
      </c>
    </row>
    <row r="75" customFormat="false" ht="30" hidden="false" customHeight="true" outlineLevel="0" collapsed="false">
      <c r="B75" s="43" t="n">
        <v>65</v>
      </c>
      <c r="C75" s="9" t="s">
        <v>328</v>
      </c>
      <c r="D75" s="9" t="s">
        <v>476</v>
      </c>
      <c r="E75" s="52" t="s">
        <v>482</v>
      </c>
      <c r="F75" s="44" t="s">
        <v>478</v>
      </c>
      <c r="G75" s="47" t="n">
        <v>0</v>
      </c>
      <c r="H75" s="46" t="n">
        <f aca="false">Debt!$C$8-Debt!K25</f>
        <v>0</v>
      </c>
      <c r="I75" s="46" t="n">
        <f aca="false">H75-G75</f>
        <v>0</v>
      </c>
      <c r="J75" s="53" t="n">
        <v>1E-007</v>
      </c>
      <c r="K75" s="38" t="str">
        <f aca="false">IF(ISERROR(I75),"FAIL",IF(ABS(I75)&lt;=J75,"PASS","FAIL"))</f>
        <v>PASS</v>
      </c>
    </row>
    <row r="76" customFormat="false" ht="30" hidden="false" customHeight="true" outlineLevel="0" collapsed="false">
      <c r="B76" s="43" t="n">
        <v>66</v>
      </c>
      <c r="C76" s="9" t="s">
        <v>328</v>
      </c>
      <c r="D76" s="9" t="s">
        <v>476</v>
      </c>
      <c r="E76" s="52" t="s">
        <v>483</v>
      </c>
      <c r="F76" s="44" t="s">
        <v>478</v>
      </c>
      <c r="G76" s="47" t="n">
        <v>0</v>
      </c>
      <c r="H76" s="46" t="n">
        <f aca="false">Debt!$C$6-SUM(Debt!$E$24:$K$24)-Debt!$C$8</f>
        <v>0</v>
      </c>
      <c r="I76" s="46" t="n">
        <f aca="false">H76-G76</f>
        <v>0</v>
      </c>
      <c r="J76" s="53" t="n">
        <v>1E-007</v>
      </c>
      <c r="K76" s="38" t="str">
        <f aca="false">IF(ISERROR(I76),"FAIL",IF(ABS(I76)&lt;=J76,"PASS","FAIL"))</f>
        <v>PASS</v>
      </c>
    </row>
    <row r="77" customFormat="false" ht="30" hidden="false" customHeight="true" outlineLevel="0" collapsed="false">
      <c r="B77" s="43" t="n">
        <v>67</v>
      </c>
      <c r="C77" s="9" t="s">
        <v>347</v>
      </c>
      <c r="D77" s="9" t="s">
        <v>476</v>
      </c>
      <c r="E77" s="52" t="s">
        <v>484</v>
      </c>
      <c r="F77" s="44" t="s">
        <v>478</v>
      </c>
      <c r="G77" s="47" t="n">
        <v>0</v>
      </c>
      <c r="H77" s="46" t="n">
        <f aca="false">Scenarios!D50+NPV(Scenarios!$C$51,Scenarios!$E$50:$N$50)</f>
        <v>0</v>
      </c>
      <c r="I77" s="46" t="n">
        <f aca="false">H77-G77</f>
        <v>0</v>
      </c>
      <c r="J77" s="53" t="n">
        <v>1E-005</v>
      </c>
      <c r="K77" s="38" t="str">
        <f aca="false">IF(ISERROR(I77),"FAIL",IF(ABS(I77)&lt;=J77,"PASS","FAIL"))</f>
        <v>PASS</v>
      </c>
    </row>
    <row r="78" customFormat="false" ht="30" hidden="false" customHeight="true" outlineLevel="0" collapsed="false">
      <c r="B78" s="43" t="n">
        <v>68</v>
      </c>
      <c r="C78" s="9" t="s">
        <v>328</v>
      </c>
      <c r="D78" s="9" t="s">
        <v>476</v>
      </c>
      <c r="E78" s="52" t="s">
        <v>485</v>
      </c>
      <c r="F78" s="44" t="s">
        <v>478</v>
      </c>
      <c r="G78" s="47" t="n">
        <v>0</v>
      </c>
      <c r="H78" s="46" t="n">
        <f aca="false">Debt!D64+NPV(Debt!$C$65,Debt!$E$64:$N$64)</f>
        <v>7.61701812734827E-012</v>
      </c>
      <c r="I78" s="46" t="n">
        <f aca="false">H78-G78</f>
        <v>7.61701812734827E-012</v>
      </c>
      <c r="J78" s="53" t="n">
        <v>1E-005</v>
      </c>
      <c r="K78" s="38" t="str">
        <f aca="false">IF(ISERROR(I78),"FAIL",IF(ABS(I78)&lt;=J78,"PASS","FAIL"))</f>
        <v>PASS</v>
      </c>
    </row>
    <row r="79" customFormat="false" ht="30" hidden="false" customHeight="true" outlineLevel="0" collapsed="false">
      <c r="B79" s="43" t="n">
        <v>69</v>
      </c>
      <c r="C79" s="9" t="s">
        <v>328</v>
      </c>
      <c r="D79" s="9" t="s">
        <v>476</v>
      </c>
      <c r="E79" s="52" t="s">
        <v>486</v>
      </c>
      <c r="F79" s="44" t="s">
        <v>478</v>
      </c>
      <c r="G79" s="47" t="n">
        <v>0</v>
      </c>
      <c r="H79" s="46" t="n">
        <f aca="false">MIN(0,MIN(Debt!$E$57:$N$57))</f>
        <v>0</v>
      </c>
      <c r="I79" s="46" t="n">
        <f aca="false">H79-G79</f>
        <v>0</v>
      </c>
      <c r="J79" s="53" t="n">
        <v>1E-009</v>
      </c>
      <c r="K79" s="38" t="str">
        <f aca="false">IF(ISERROR(I79),"FAIL",IF(ABS(I79)&lt;=J79,"PASS","FAIL"))</f>
        <v>PASS</v>
      </c>
    </row>
    <row r="80" customFormat="false" ht="30" hidden="false" customHeight="true" outlineLevel="0" collapsed="false">
      <c r="B80" s="43" t="n">
        <v>70</v>
      </c>
      <c r="C80" s="9" t="s">
        <v>347</v>
      </c>
      <c r="D80" s="9" t="s">
        <v>476</v>
      </c>
      <c r="E80" s="52" t="s">
        <v>487</v>
      </c>
      <c r="F80" s="44" t="s">
        <v>478</v>
      </c>
      <c r="G80" s="47" t="n">
        <v>0</v>
      </c>
      <c r="H80" s="46" t="n">
        <f aca="false">Scenarios!D99+NPV(Scenarios!$C$100,Scenarios!$E$99:$N$99)</f>
        <v>0</v>
      </c>
      <c r="I80" s="46" t="n">
        <f aca="false">H80-G80</f>
        <v>0</v>
      </c>
      <c r="J80" s="53" t="n">
        <v>1E-005</v>
      </c>
      <c r="K80" s="38" t="str">
        <f aca="false">IF(ISERROR(I80),"FAIL",IF(ABS(I80)&lt;=J80,"PASS","FAIL"))</f>
        <v>PASS</v>
      </c>
    </row>
    <row r="81" customFormat="false" ht="30" hidden="false" customHeight="true" outlineLevel="0" collapsed="false">
      <c r="B81" s="43" t="n">
        <v>71</v>
      </c>
      <c r="C81" s="9" t="s">
        <v>328</v>
      </c>
      <c r="D81" s="9" t="s">
        <v>476</v>
      </c>
      <c r="E81" s="52" t="s">
        <v>488</v>
      </c>
      <c r="F81" s="44" t="s">
        <v>478</v>
      </c>
      <c r="G81" s="47" t="n">
        <v>0</v>
      </c>
      <c r="H81" s="46" t="n">
        <f aca="false">Debt!D97+NPV(Debt!$C$98,Debt!$E$97:$N$97)</f>
        <v>0</v>
      </c>
      <c r="I81" s="46" t="n">
        <f aca="false">H81-G81</f>
        <v>0</v>
      </c>
      <c r="J81" s="53" t="n">
        <v>1E-005</v>
      </c>
      <c r="K81" s="38" t="str">
        <f aca="false">IF(ISERROR(I81),"FAIL",IF(ABS(I81)&lt;=J81,"PASS","FAIL"))</f>
        <v>PASS</v>
      </c>
    </row>
    <row r="82" customFormat="false" ht="30" hidden="false" customHeight="true" outlineLevel="0" collapsed="false">
      <c r="B82" s="43" t="n">
        <v>72</v>
      </c>
      <c r="C82" s="9" t="s">
        <v>328</v>
      </c>
      <c r="D82" s="9" t="s">
        <v>476</v>
      </c>
      <c r="E82" s="52" t="s">
        <v>489</v>
      </c>
      <c r="F82" s="44" t="s">
        <v>478</v>
      </c>
      <c r="G82" s="47" t="n">
        <v>0</v>
      </c>
      <c r="H82" s="46" t="n">
        <f aca="false">MIN(0,MIN(Debt!$E$90:$N$90))</f>
        <v>0</v>
      </c>
      <c r="I82" s="46" t="n">
        <f aca="false">H82-G82</f>
        <v>0</v>
      </c>
      <c r="J82" s="53" t="n">
        <v>1E-009</v>
      </c>
      <c r="K82" s="38" t="str">
        <f aca="false">IF(ISERROR(I82),"FAIL",IF(ABS(I82)&lt;=J82,"PASS","FAIL"))</f>
        <v>PASS</v>
      </c>
    </row>
    <row r="83" customFormat="false" ht="30" hidden="false" customHeight="true" outlineLevel="0" collapsed="false">
      <c r="B83" s="43" t="n">
        <v>73</v>
      </c>
      <c r="C83" s="9" t="s">
        <v>347</v>
      </c>
      <c r="D83" s="9" t="s">
        <v>476</v>
      </c>
      <c r="E83" s="52" t="s">
        <v>490</v>
      </c>
      <c r="F83" s="44" t="s">
        <v>478</v>
      </c>
      <c r="G83" s="47" t="n">
        <v>0</v>
      </c>
      <c r="H83" s="46" t="n">
        <f aca="false">Scenarios!D148+NPV(Scenarios!$C$149,Scenarios!$E$148:$N$148)</f>
        <v>5.6843418860808E-012</v>
      </c>
      <c r="I83" s="46" t="n">
        <f aca="false">H83-G83</f>
        <v>5.6843418860808E-012</v>
      </c>
      <c r="J83" s="53" t="n">
        <v>1E-005</v>
      </c>
      <c r="K83" s="38" t="str">
        <f aca="false">IF(ISERROR(I83),"FAIL",IF(ABS(I83)&lt;=J83,"PASS","FAIL"))</f>
        <v>PASS</v>
      </c>
    </row>
    <row r="84" customFormat="false" ht="30" hidden="false" customHeight="true" outlineLevel="0" collapsed="false">
      <c r="B84" s="43" t="n">
        <v>74</v>
      </c>
      <c r="C84" s="9" t="s">
        <v>328</v>
      </c>
      <c r="D84" s="9" t="s">
        <v>476</v>
      </c>
      <c r="E84" s="52" t="s">
        <v>491</v>
      </c>
      <c r="F84" s="44" t="s">
        <v>478</v>
      </c>
      <c r="G84" s="47" t="n">
        <v>0</v>
      </c>
      <c r="H84" s="46" t="n">
        <f aca="false">Debt!D130+NPV(Debt!$C$131,Debt!$E$130:$N$130)</f>
        <v>0</v>
      </c>
      <c r="I84" s="46" t="n">
        <f aca="false">H84-G84</f>
        <v>0</v>
      </c>
      <c r="J84" s="53" t="n">
        <v>1E-005</v>
      </c>
      <c r="K84" s="38" t="str">
        <f aca="false">IF(ISERROR(I84),"FAIL",IF(ABS(I84)&lt;=J84,"PASS","FAIL"))</f>
        <v>PASS</v>
      </c>
    </row>
    <row r="85" customFormat="false" ht="30" hidden="false" customHeight="true" outlineLevel="0" collapsed="false">
      <c r="B85" s="43" t="n">
        <v>75</v>
      </c>
      <c r="C85" s="9" t="s">
        <v>328</v>
      </c>
      <c r="D85" s="9" t="s">
        <v>476</v>
      </c>
      <c r="E85" s="52" t="s">
        <v>492</v>
      </c>
      <c r="F85" s="44" t="s">
        <v>478</v>
      </c>
      <c r="G85" s="47" t="n">
        <v>0</v>
      </c>
      <c r="H85" s="46" t="n">
        <f aca="false">MIN(0,MIN(Debt!$E$123:$N$123))</f>
        <v>0</v>
      </c>
      <c r="I85" s="46" t="n">
        <f aca="false">H85-G85</f>
        <v>0</v>
      </c>
      <c r="J85" s="53" t="n">
        <v>1E-009</v>
      </c>
      <c r="K85" s="38" t="str">
        <f aca="false">IF(ISERROR(I85),"FAIL",IF(ABS(I85)&lt;=J85,"PASS","FAIL"))</f>
        <v>PASS</v>
      </c>
    </row>
    <row r="86" customFormat="false" ht="30" hidden="false" customHeight="true" outlineLevel="0" collapsed="false">
      <c r="B86" s="43" t="n">
        <v>76</v>
      </c>
      <c r="C86" s="9" t="s">
        <v>347</v>
      </c>
      <c r="D86" s="9" t="s">
        <v>476</v>
      </c>
      <c r="E86" s="52" t="s">
        <v>493</v>
      </c>
      <c r="F86" s="44" t="s">
        <v>478</v>
      </c>
      <c r="G86" s="47" t="n">
        <v>0</v>
      </c>
      <c r="H86" s="46" t="n">
        <f aca="false">Scenarios!D197+NPV(Scenarios!$C$198,Scenarios!$E$197:$N$197)</f>
        <v>0</v>
      </c>
      <c r="I86" s="46" t="n">
        <f aca="false">H86-G86</f>
        <v>0</v>
      </c>
      <c r="J86" s="53" t="n">
        <v>1E-005</v>
      </c>
      <c r="K86" s="38" t="str">
        <f aca="false">IF(ISERROR(I86),"FAIL",IF(ABS(I86)&lt;=J86,"PASS","FAIL"))</f>
        <v>PASS</v>
      </c>
    </row>
    <row r="87" customFormat="false" ht="15" hidden="false" customHeight="true" outlineLevel="0" collapsed="false">
      <c r="B87" s="43" t="n">
        <v>77</v>
      </c>
      <c r="C87" s="9" t="s">
        <v>328</v>
      </c>
      <c r="D87" s="9" t="s">
        <v>476</v>
      </c>
      <c r="E87" s="52" t="s">
        <v>494</v>
      </c>
      <c r="F87" s="44" t="s">
        <v>478</v>
      </c>
      <c r="G87" s="47" t="n">
        <v>0</v>
      </c>
      <c r="H87" s="46" t="n">
        <f aca="false">Debt!D163+NPV(Debt!$C$164,Debt!$E$163:$N$163)</f>
        <v>0</v>
      </c>
      <c r="I87" s="46" t="n">
        <f aca="false">H87-G87</f>
        <v>0</v>
      </c>
      <c r="J87" s="53" t="n">
        <v>1E-005</v>
      </c>
      <c r="K87" s="38" t="str">
        <f aca="false">IF(ISERROR(I87),"FAIL",IF(ABS(I87)&lt;=J87,"PASS","FAIL"))</f>
        <v>PASS</v>
      </c>
    </row>
    <row r="88" customFormat="false" ht="15" hidden="false" customHeight="true" outlineLevel="0" collapsed="false">
      <c r="B88" s="43" t="n">
        <v>78</v>
      </c>
      <c r="C88" s="9" t="s">
        <v>328</v>
      </c>
      <c r="D88" s="9" t="s">
        <v>476</v>
      </c>
      <c r="E88" s="52" t="s">
        <v>495</v>
      </c>
      <c r="F88" s="44" t="s">
        <v>478</v>
      </c>
      <c r="G88" s="47" t="n">
        <v>0</v>
      </c>
      <c r="H88" s="46" t="n">
        <f aca="false">MIN(0,MIN(Debt!$E$156:$N$156))</f>
        <v>0</v>
      </c>
      <c r="I88" s="46" t="n">
        <f aca="false">H88-G88</f>
        <v>0</v>
      </c>
      <c r="J88" s="53" t="n">
        <v>1E-009</v>
      </c>
      <c r="K88" s="38" t="str">
        <f aca="false">IF(ISERROR(I88),"FAIL",IF(ABS(I88)&lt;=J88,"PASS","FAIL"))</f>
        <v>PASS</v>
      </c>
    </row>
    <row r="89" customFormat="false" ht="30" hidden="false" customHeight="true" outlineLevel="0" collapsed="false">
      <c r="B89" s="43" t="n">
        <v>79</v>
      </c>
      <c r="C89" s="9" t="s">
        <v>347</v>
      </c>
      <c r="D89" s="9" t="s">
        <v>476</v>
      </c>
      <c r="E89" s="52" t="s">
        <v>496</v>
      </c>
      <c r="F89" s="44" t="s">
        <v>478</v>
      </c>
      <c r="G89" s="47" t="n">
        <v>0</v>
      </c>
      <c r="H89" s="46" t="n">
        <f aca="false">Scenarios!D246+NPV(Scenarios!$C$247,Scenarios!$E$246:$N$246)</f>
        <v>0</v>
      </c>
      <c r="I89" s="46" t="n">
        <f aca="false">H89-G89</f>
        <v>0</v>
      </c>
      <c r="J89" s="53" t="n">
        <v>1E-005</v>
      </c>
      <c r="K89" s="38" t="str">
        <f aca="false">IF(ISERROR(I89),"FAIL",IF(ABS(I89)&lt;=J89,"PASS","FAIL"))</f>
        <v>PASS</v>
      </c>
    </row>
    <row r="90" customFormat="false" ht="30" hidden="false" customHeight="true" outlineLevel="0" collapsed="false">
      <c r="B90" s="43" t="n">
        <v>80</v>
      </c>
      <c r="C90" s="9" t="s">
        <v>328</v>
      </c>
      <c r="D90" s="9" t="s">
        <v>476</v>
      </c>
      <c r="E90" s="52" t="s">
        <v>497</v>
      </c>
      <c r="F90" s="44" t="s">
        <v>478</v>
      </c>
      <c r="G90" s="47" t="n">
        <v>0</v>
      </c>
      <c r="H90" s="46" t="n">
        <f aca="false">Debt!D196+NPV(Debt!$C$197,Debt!$E$196:$N$196)</f>
        <v>0</v>
      </c>
      <c r="I90" s="46" t="n">
        <f aca="false">H90-G90</f>
        <v>0</v>
      </c>
      <c r="J90" s="53" t="n">
        <v>1E-005</v>
      </c>
      <c r="K90" s="38" t="str">
        <f aca="false">IF(ISERROR(I90),"FAIL",IF(ABS(I90)&lt;=J90,"PASS","FAIL"))</f>
        <v>PASS</v>
      </c>
    </row>
    <row r="91" customFormat="false" ht="30" hidden="false" customHeight="true" outlineLevel="0" collapsed="false">
      <c r="B91" s="43" t="n">
        <v>81</v>
      </c>
      <c r="C91" s="9" t="s">
        <v>328</v>
      </c>
      <c r="D91" s="9" t="s">
        <v>476</v>
      </c>
      <c r="E91" s="52" t="s">
        <v>498</v>
      </c>
      <c r="F91" s="44" t="s">
        <v>478</v>
      </c>
      <c r="G91" s="47" t="n">
        <v>0</v>
      </c>
      <c r="H91" s="46" t="n">
        <f aca="false">MIN(0,MIN(Debt!$E$189:$N$189))</f>
        <v>0</v>
      </c>
      <c r="I91" s="46" t="n">
        <f aca="false">H91-G91</f>
        <v>0</v>
      </c>
      <c r="J91" s="53" t="n">
        <v>1E-009</v>
      </c>
      <c r="K91" s="38" t="str">
        <f aca="false">IF(ISERROR(I91),"FAIL",IF(ABS(I91)&lt;=J91,"PASS","FAIL"))</f>
        <v>PASS</v>
      </c>
    </row>
    <row r="92" customFormat="false" ht="30" hidden="false" customHeight="true" outlineLevel="0" collapsed="false">
      <c r="B92" s="43" t="n">
        <v>82</v>
      </c>
      <c r="C92" s="9" t="s">
        <v>347</v>
      </c>
      <c r="D92" s="9" t="s">
        <v>476</v>
      </c>
      <c r="E92" s="52" t="s">
        <v>499</v>
      </c>
      <c r="F92" s="44" t="s">
        <v>478</v>
      </c>
      <c r="G92" s="47" t="n">
        <v>0</v>
      </c>
      <c r="H92" s="46" t="n">
        <f aca="false">Scenarios!D295+NPV(Scenarios!$C$296,Scenarios!$E$295:$N$295)</f>
        <v>0</v>
      </c>
      <c r="I92" s="46" t="n">
        <f aca="false">H92-G92</f>
        <v>0</v>
      </c>
      <c r="J92" s="53" t="n">
        <v>1E-005</v>
      </c>
      <c r="K92" s="38" t="str">
        <f aca="false">IF(ISERROR(I92),"FAIL",IF(ABS(I92)&lt;=J92,"PASS","FAIL"))</f>
        <v>PASS</v>
      </c>
    </row>
    <row r="93" customFormat="false" ht="30" hidden="false" customHeight="true" outlineLevel="0" collapsed="false">
      <c r="B93" s="43" t="n">
        <v>83</v>
      </c>
      <c r="C93" s="9" t="s">
        <v>328</v>
      </c>
      <c r="D93" s="9" t="s">
        <v>476</v>
      </c>
      <c r="E93" s="52" t="s">
        <v>500</v>
      </c>
      <c r="F93" s="44" t="s">
        <v>478</v>
      </c>
      <c r="G93" s="47" t="n">
        <v>0</v>
      </c>
      <c r="H93" s="46" t="n">
        <f aca="false">Debt!D229+NPV(Debt!$C$230,Debt!$E$229:$N$229)</f>
        <v>0</v>
      </c>
      <c r="I93" s="46" t="n">
        <f aca="false">H93-G93</f>
        <v>0</v>
      </c>
      <c r="J93" s="53" t="n">
        <v>1E-005</v>
      </c>
      <c r="K93" s="38" t="str">
        <f aca="false">IF(ISERROR(I93),"FAIL",IF(ABS(I93)&lt;=J93,"PASS","FAIL"))</f>
        <v>PASS</v>
      </c>
    </row>
    <row r="94" customFormat="false" ht="30" hidden="false" customHeight="true" outlineLevel="0" collapsed="false">
      <c r="B94" s="43" t="n">
        <v>84</v>
      </c>
      <c r="C94" s="9" t="s">
        <v>328</v>
      </c>
      <c r="D94" s="9" t="s">
        <v>476</v>
      </c>
      <c r="E94" s="52" t="s">
        <v>501</v>
      </c>
      <c r="F94" s="44" t="s">
        <v>478</v>
      </c>
      <c r="G94" s="47" t="n">
        <v>0</v>
      </c>
      <c r="H94" s="46" t="n">
        <f aca="false">MIN(0,MIN(Debt!$E$222:$N$222))</f>
        <v>0</v>
      </c>
      <c r="I94" s="46" t="n">
        <f aca="false">H94-G94</f>
        <v>0</v>
      </c>
      <c r="J94" s="53" t="n">
        <v>1E-009</v>
      </c>
      <c r="K94" s="38" t="str">
        <f aca="false">IF(ISERROR(I94),"FAIL",IF(ABS(I94)&lt;=J94,"PASS","FAIL"))</f>
        <v>PASS</v>
      </c>
    </row>
    <row r="95" customFormat="false" ht="30" hidden="false" customHeight="true" outlineLevel="0" collapsed="false">
      <c r="B95" s="43" t="n">
        <v>85</v>
      </c>
      <c r="C95" s="9" t="s">
        <v>347</v>
      </c>
      <c r="D95" s="9" t="s">
        <v>476</v>
      </c>
      <c r="E95" s="52" t="s">
        <v>502</v>
      </c>
      <c r="F95" s="44" t="s">
        <v>478</v>
      </c>
      <c r="G95" s="47" t="n">
        <v>0</v>
      </c>
      <c r="H95" s="46" t="n">
        <f aca="false">Scenarios!D344+NPV(Scenarios!$C$345,Scenarios!$E$344:$N$344)</f>
        <v>9.43600753089413E-012</v>
      </c>
      <c r="I95" s="46" t="n">
        <f aca="false">H95-G95</f>
        <v>9.43600753089413E-012</v>
      </c>
      <c r="J95" s="53" t="n">
        <v>1E-005</v>
      </c>
      <c r="K95" s="38" t="str">
        <f aca="false">IF(ISERROR(I95),"FAIL",IF(ABS(I95)&lt;=J95,"PASS","FAIL"))</f>
        <v>PASS</v>
      </c>
    </row>
    <row r="96" customFormat="false" ht="30" hidden="false" customHeight="true" outlineLevel="0" collapsed="false">
      <c r="B96" s="43" t="n">
        <v>86</v>
      </c>
      <c r="C96" s="9" t="s">
        <v>328</v>
      </c>
      <c r="D96" s="9" t="s">
        <v>476</v>
      </c>
      <c r="E96" s="52" t="s">
        <v>503</v>
      </c>
      <c r="F96" s="44" t="s">
        <v>478</v>
      </c>
      <c r="G96" s="47" t="n">
        <v>0</v>
      </c>
      <c r="H96" s="46" t="n">
        <f aca="false">Debt!D262+NPV(Debt!$C$263,Debt!$E$262:$N$262)</f>
        <v>0</v>
      </c>
      <c r="I96" s="46" t="n">
        <f aca="false">H96-G96</f>
        <v>0</v>
      </c>
      <c r="J96" s="53" t="n">
        <v>1E-005</v>
      </c>
      <c r="K96" s="38" t="str">
        <f aca="false">IF(ISERROR(I96),"FAIL",IF(ABS(I96)&lt;=J96,"PASS","FAIL"))</f>
        <v>PASS</v>
      </c>
    </row>
    <row r="97" customFormat="false" ht="30" hidden="false" customHeight="true" outlineLevel="0" collapsed="false">
      <c r="B97" s="43" t="n">
        <v>87</v>
      </c>
      <c r="C97" s="9" t="s">
        <v>328</v>
      </c>
      <c r="D97" s="9" t="s">
        <v>476</v>
      </c>
      <c r="E97" s="52" t="s">
        <v>504</v>
      </c>
      <c r="F97" s="44" t="s">
        <v>478</v>
      </c>
      <c r="G97" s="47" t="n">
        <v>0</v>
      </c>
      <c r="H97" s="46" t="n">
        <f aca="false">MIN(0,MIN(Debt!$E$255:$N$255))</f>
        <v>0</v>
      </c>
      <c r="I97" s="46" t="n">
        <f aca="false">H97-G97</f>
        <v>0</v>
      </c>
      <c r="J97" s="53" t="n">
        <v>1E-009</v>
      </c>
      <c r="K97" s="38" t="str">
        <f aca="false">IF(ISERROR(I97),"FAIL",IF(ABS(I97)&lt;=J97,"PASS","FAIL"))</f>
        <v>PASS</v>
      </c>
    </row>
    <row r="98" customFormat="false" ht="15" hidden="false" customHeight="true" outlineLevel="0" collapsed="false">
      <c r="B98" s="43" t="n">
        <v>88</v>
      </c>
      <c r="C98" s="9" t="s">
        <v>347</v>
      </c>
      <c r="D98" s="9" t="s">
        <v>476</v>
      </c>
      <c r="E98" s="52" t="s">
        <v>505</v>
      </c>
      <c r="F98" s="44" t="s">
        <v>478</v>
      </c>
      <c r="G98" s="47" t="n">
        <v>0</v>
      </c>
      <c r="H98" s="46" t="n">
        <f aca="false">Scenarios!D393+NPV(Scenarios!$C$394,Scenarios!$E$393:$N$393)</f>
        <v>2.23963070311584E-011</v>
      </c>
      <c r="I98" s="46" t="n">
        <f aca="false">H98-G98</f>
        <v>2.23963070311584E-011</v>
      </c>
      <c r="J98" s="53" t="n">
        <v>1E-005</v>
      </c>
      <c r="K98" s="38" t="str">
        <f aca="false">IF(ISERROR(I98),"FAIL",IF(ABS(I98)&lt;=J98,"PASS","FAIL"))</f>
        <v>PASS</v>
      </c>
    </row>
    <row r="99" customFormat="false" ht="15" hidden="false" customHeight="true" outlineLevel="0" collapsed="false">
      <c r="B99" s="43" t="n">
        <v>89</v>
      </c>
      <c r="C99" s="9" t="s">
        <v>328</v>
      </c>
      <c r="D99" s="9" t="s">
        <v>476</v>
      </c>
      <c r="E99" s="52" t="s">
        <v>506</v>
      </c>
      <c r="F99" s="44" t="s">
        <v>478</v>
      </c>
      <c r="G99" s="47" t="n">
        <v>0</v>
      </c>
      <c r="H99" s="46" t="n">
        <f aca="false">Debt!D295+NPV(Debt!$C$296,Debt!$E$295:$N$295)</f>
        <v>0</v>
      </c>
      <c r="I99" s="46" t="n">
        <f aca="false">H99-G99</f>
        <v>0</v>
      </c>
      <c r="J99" s="53" t="n">
        <v>1E-005</v>
      </c>
      <c r="K99" s="38" t="str">
        <f aca="false">IF(ISERROR(I99),"FAIL",IF(ABS(I99)&lt;=J99,"PASS","FAIL"))</f>
        <v>PASS</v>
      </c>
    </row>
    <row r="100" customFormat="false" ht="15" hidden="false" customHeight="true" outlineLevel="0" collapsed="false">
      <c r="B100" s="43" t="n">
        <v>90</v>
      </c>
      <c r="C100" s="9" t="s">
        <v>328</v>
      </c>
      <c r="D100" s="9" t="s">
        <v>476</v>
      </c>
      <c r="E100" s="52" t="s">
        <v>507</v>
      </c>
      <c r="F100" s="44" t="s">
        <v>478</v>
      </c>
      <c r="G100" s="47" t="n">
        <v>0</v>
      </c>
      <c r="H100" s="46" t="n">
        <f aca="false">MIN(0,MIN(Debt!$E$288:$N$288))</f>
        <v>0</v>
      </c>
      <c r="I100" s="46" t="n">
        <f aca="false">H100-G100</f>
        <v>0</v>
      </c>
      <c r="J100" s="53" t="n">
        <v>1E-009</v>
      </c>
      <c r="K100" s="38" t="str">
        <f aca="false">IF(ISERROR(I100),"FAIL",IF(ABS(I100)&lt;=J100,"PASS","FAIL"))</f>
        <v>PASS</v>
      </c>
    </row>
    <row r="101" customFormat="false" ht="30" hidden="false" customHeight="true" outlineLevel="0" collapsed="false">
      <c r="B101" s="43" t="n">
        <v>91</v>
      </c>
      <c r="C101" s="9" t="s">
        <v>347</v>
      </c>
      <c r="D101" s="9" t="s">
        <v>476</v>
      </c>
      <c r="E101" s="52" t="s">
        <v>508</v>
      </c>
      <c r="F101" s="44" t="s">
        <v>478</v>
      </c>
      <c r="G101" s="47" t="n">
        <v>0</v>
      </c>
      <c r="H101" s="46" t="n">
        <f aca="false">Scenarios!D442+NPV(Scenarios!$C$443,Scenarios!$E$442:$N$442)</f>
        <v>0</v>
      </c>
      <c r="I101" s="46" t="n">
        <f aca="false">H101-G101</f>
        <v>0</v>
      </c>
      <c r="J101" s="53" t="n">
        <v>1E-005</v>
      </c>
      <c r="K101" s="38" t="str">
        <f aca="false">IF(ISERROR(I101),"FAIL",IF(ABS(I101)&lt;=J101,"PASS","FAIL"))</f>
        <v>PASS</v>
      </c>
    </row>
    <row r="102" customFormat="false" ht="30" hidden="false" customHeight="true" outlineLevel="0" collapsed="false">
      <c r="B102" s="43" t="n">
        <v>92</v>
      </c>
      <c r="C102" s="9" t="s">
        <v>328</v>
      </c>
      <c r="D102" s="9" t="s">
        <v>476</v>
      </c>
      <c r="E102" s="52" t="s">
        <v>509</v>
      </c>
      <c r="F102" s="44" t="s">
        <v>478</v>
      </c>
      <c r="G102" s="47" t="n">
        <v>0</v>
      </c>
      <c r="H102" s="46" t="n">
        <f aca="false">Debt!D328+NPV(Debt!$C$329,Debt!$E$328:$N$328)</f>
        <v>0</v>
      </c>
      <c r="I102" s="46" t="n">
        <f aca="false">H102-G102</f>
        <v>0</v>
      </c>
      <c r="J102" s="53" t="n">
        <v>1E-005</v>
      </c>
      <c r="K102" s="38" t="str">
        <f aca="false">IF(ISERROR(I102),"FAIL",IF(ABS(I102)&lt;=J102,"PASS","FAIL"))</f>
        <v>PASS</v>
      </c>
    </row>
    <row r="103" customFormat="false" ht="30" hidden="false" customHeight="true" outlineLevel="0" collapsed="false">
      <c r="B103" s="43" t="n">
        <v>93</v>
      </c>
      <c r="C103" s="9" t="s">
        <v>328</v>
      </c>
      <c r="D103" s="9" t="s">
        <v>476</v>
      </c>
      <c r="E103" s="52" t="s">
        <v>510</v>
      </c>
      <c r="F103" s="44" t="s">
        <v>478</v>
      </c>
      <c r="G103" s="47" t="n">
        <v>0</v>
      </c>
      <c r="H103" s="46" t="n">
        <f aca="false">MIN(0,MIN(Debt!$E$321:$N$321))</f>
        <v>0</v>
      </c>
      <c r="I103" s="46" t="n">
        <f aca="false">H103-G103</f>
        <v>0</v>
      </c>
      <c r="J103" s="53" t="n">
        <v>1E-009</v>
      </c>
      <c r="K103" s="38" t="str">
        <f aca="false">IF(ISERROR(I103),"FAIL",IF(ABS(I103)&lt;=J103,"PASS","FAIL"))</f>
        <v>PASS</v>
      </c>
    </row>
    <row r="104" customFormat="false" ht="30" hidden="false" customHeight="true" outlineLevel="0" collapsed="false">
      <c r="B104" s="43" t="n">
        <v>94</v>
      </c>
      <c r="C104" s="9" t="s">
        <v>347</v>
      </c>
      <c r="D104" s="9" t="s">
        <v>476</v>
      </c>
      <c r="E104" s="52" t="s">
        <v>511</v>
      </c>
      <c r="F104" s="44" t="s">
        <v>478</v>
      </c>
      <c r="G104" s="47" t="n">
        <v>0</v>
      </c>
      <c r="H104" s="46" t="n">
        <f aca="false">Scenarios!D491+NPV(Scenarios!$C$492,Scenarios!$E$491:$N$491)</f>
        <v>8.58335624798201E-011</v>
      </c>
      <c r="I104" s="46" t="n">
        <f aca="false">H104-G104</f>
        <v>8.58335624798201E-011</v>
      </c>
      <c r="J104" s="53" t="n">
        <v>1E-005</v>
      </c>
      <c r="K104" s="38" t="str">
        <f aca="false">IF(ISERROR(I104),"FAIL",IF(ABS(I104)&lt;=J104,"PASS","FAIL"))</f>
        <v>PASS</v>
      </c>
    </row>
    <row r="105" customFormat="false" ht="30" hidden="false" customHeight="true" outlineLevel="0" collapsed="false">
      <c r="B105" s="43" t="n">
        <v>95</v>
      </c>
      <c r="C105" s="9" t="s">
        <v>328</v>
      </c>
      <c r="D105" s="9" t="s">
        <v>476</v>
      </c>
      <c r="E105" s="52" t="s">
        <v>512</v>
      </c>
      <c r="F105" s="44" t="s">
        <v>478</v>
      </c>
      <c r="G105" s="47" t="n">
        <v>0</v>
      </c>
      <c r="H105" s="46" t="n">
        <f aca="false">Debt!D361+NPV(Debt!$C$362,Debt!$E$361:$N$361)</f>
        <v>1.14937392936554E-010</v>
      </c>
      <c r="I105" s="46" t="n">
        <f aca="false">H105-G105</f>
        <v>1.14937392936554E-010</v>
      </c>
      <c r="J105" s="53" t="n">
        <v>1E-005</v>
      </c>
      <c r="K105" s="38" t="str">
        <f aca="false">IF(ISERROR(I105),"FAIL",IF(ABS(I105)&lt;=J105,"PASS","FAIL"))</f>
        <v>PASS</v>
      </c>
    </row>
    <row r="106" customFormat="false" ht="30" hidden="false" customHeight="true" outlineLevel="0" collapsed="false">
      <c r="B106" s="43" t="n">
        <v>96</v>
      </c>
      <c r="C106" s="9" t="s">
        <v>328</v>
      </c>
      <c r="D106" s="9" t="s">
        <v>476</v>
      </c>
      <c r="E106" s="52" t="s">
        <v>513</v>
      </c>
      <c r="F106" s="44" t="s">
        <v>478</v>
      </c>
      <c r="G106" s="47" t="n">
        <v>0</v>
      </c>
      <c r="H106" s="46" t="n">
        <f aca="false">MIN(0,MIN(Debt!$E$354:$N$354))</f>
        <v>0</v>
      </c>
      <c r="I106" s="46" t="n">
        <f aca="false">H106-G106</f>
        <v>0</v>
      </c>
      <c r="J106" s="53" t="n">
        <v>1E-009</v>
      </c>
      <c r="K106" s="38" t="str">
        <f aca="false">IF(ISERROR(I106),"FAIL",IF(ABS(I106)&lt;=J106,"PASS","FAIL"))</f>
        <v>PASS</v>
      </c>
    </row>
    <row r="107" customFormat="false" ht="30" hidden="false" customHeight="true" outlineLevel="0" collapsed="false">
      <c r="B107" s="43" t="n">
        <v>97</v>
      </c>
      <c r="C107" s="9" t="s">
        <v>347</v>
      </c>
      <c r="D107" s="9" t="s">
        <v>476</v>
      </c>
      <c r="E107" s="52" t="s">
        <v>514</v>
      </c>
      <c r="F107" s="44" t="s">
        <v>478</v>
      </c>
      <c r="G107" s="47" t="n">
        <v>0</v>
      </c>
      <c r="H107" s="46" t="n">
        <f aca="false">Scenarios!D540+NPV(Scenarios!$C$541,Scenarios!$E$540:$N$540)</f>
        <v>0</v>
      </c>
      <c r="I107" s="46" t="n">
        <f aca="false">H107-G107</f>
        <v>0</v>
      </c>
      <c r="J107" s="53" t="n">
        <v>1E-005</v>
      </c>
      <c r="K107" s="38" t="str">
        <f aca="false">IF(ISERROR(I107),"FAIL",IF(ABS(I107)&lt;=J107,"PASS","FAIL"))</f>
        <v>PASS</v>
      </c>
    </row>
    <row r="108" customFormat="false" ht="30" hidden="false" customHeight="true" outlineLevel="0" collapsed="false">
      <c r="B108" s="43" t="n">
        <v>98</v>
      </c>
      <c r="C108" s="9" t="s">
        <v>328</v>
      </c>
      <c r="D108" s="9" t="s">
        <v>476</v>
      </c>
      <c r="E108" s="52" t="s">
        <v>515</v>
      </c>
      <c r="F108" s="44" t="s">
        <v>478</v>
      </c>
      <c r="G108" s="47" t="n">
        <v>0</v>
      </c>
      <c r="H108" s="46" t="n">
        <f aca="false">Debt!D394+NPV(Debt!$C$395,Debt!$E$394:$N$394)</f>
        <v>0</v>
      </c>
      <c r="I108" s="46" t="n">
        <f aca="false">H108-G108</f>
        <v>0</v>
      </c>
      <c r="J108" s="53" t="n">
        <v>1E-005</v>
      </c>
      <c r="K108" s="38" t="str">
        <f aca="false">IF(ISERROR(I108),"FAIL",IF(ABS(I108)&lt;=J108,"PASS","FAIL"))</f>
        <v>PASS</v>
      </c>
    </row>
    <row r="109" customFormat="false" ht="30" hidden="false" customHeight="true" outlineLevel="0" collapsed="false">
      <c r="B109" s="43" t="n">
        <v>99</v>
      </c>
      <c r="C109" s="9" t="s">
        <v>328</v>
      </c>
      <c r="D109" s="9" t="s">
        <v>476</v>
      </c>
      <c r="E109" s="52" t="s">
        <v>516</v>
      </c>
      <c r="F109" s="44" t="s">
        <v>478</v>
      </c>
      <c r="G109" s="47" t="n">
        <v>0</v>
      </c>
      <c r="H109" s="46" t="n">
        <f aca="false">MIN(0,MIN(Debt!$E$387:$N$387))</f>
        <v>0</v>
      </c>
      <c r="I109" s="46" t="n">
        <f aca="false">H109-G109</f>
        <v>0</v>
      </c>
      <c r="J109" s="53" t="n">
        <v>1E-009</v>
      </c>
      <c r="K109" s="38" t="str">
        <f aca="false">IF(ISERROR(I109),"FAIL",IF(ABS(I109)&lt;=J109,"PASS","FAIL"))</f>
        <v>PASS</v>
      </c>
    </row>
    <row r="110" customFormat="false" ht="30" hidden="false" customHeight="true" outlineLevel="0" collapsed="false">
      <c r="B110" s="43" t="n">
        <v>100</v>
      </c>
      <c r="C110" s="9" t="s">
        <v>448</v>
      </c>
      <c r="D110" s="9" t="s">
        <v>476</v>
      </c>
      <c r="E110" s="52" t="s">
        <v>517</v>
      </c>
      <c r="F110" s="44" t="s">
        <v>478</v>
      </c>
      <c r="G110" s="47" t="n">
        <v>0</v>
      </c>
      <c r="H110" s="46" t="n">
        <f aca="false">Thresholds!D51+NPV(Thresholds!$C$52,Thresholds!$E$51:$N$51)</f>
        <v>0</v>
      </c>
      <c r="I110" s="46" t="n">
        <f aca="false">H110-G110</f>
        <v>0</v>
      </c>
      <c r="J110" s="53" t="n">
        <v>1E-005</v>
      </c>
      <c r="K110" s="38" t="str">
        <f aca="false">IF(ISERROR(I110),"FAIL",IF(ABS(I110)&lt;=J110,"PASS","FAIL"))</f>
        <v>PASS</v>
      </c>
    </row>
    <row r="111" customFormat="false" ht="30" hidden="false" customHeight="true" outlineLevel="0" collapsed="false">
      <c r="B111" s="43" t="n">
        <v>101</v>
      </c>
      <c r="C111" s="9" t="s">
        <v>448</v>
      </c>
      <c r="D111" s="9" t="s">
        <v>476</v>
      </c>
      <c r="E111" s="52" t="s">
        <v>518</v>
      </c>
      <c r="F111" s="44" t="s">
        <v>478</v>
      </c>
      <c r="G111" s="47" t="n">
        <v>0</v>
      </c>
      <c r="H111" s="46" t="n">
        <f aca="false">Thresholds!D80+NPV(Thresholds!$C$81,Thresholds!$E$80:$N$80)</f>
        <v>0</v>
      </c>
      <c r="I111" s="46" t="n">
        <f aca="false">H111-G111</f>
        <v>0</v>
      </c>
      <c r="J111" s="53" t="n">
        <v>1E-005</v>
      </c>
      <c r="K111" s="38" t="str">
        <f aca="false">IF(ISERROR(I111),"FAIL",IF(ABS(I111)&lt;=J111,"PASS","FAIL"))</f>
        <v>PASS</v>
      </c>
    </row>
    <row r="112" customFormat="false" ht="30" hidden="false" customHeight="true" outlineLevel="0" collapsed="false">
      <c r="B112" s="43" t="n">
        <v>102</v>
      </c>
      <c r="C112" s="9" t="s">
        <v>448</v>
      </c>
      <c r="D112" s="9" t="s">
        <v>476</v>
      </c>
      <c r="E112" s="52" t="s">
        <v>519</v>
      </c>
      <c r="F112" s="44" t="s">
        <v>478</v>
      </c>
      <c r="G112" s="47" t="n">
        <v>0</v>
      </c>
      <c r="H112" s="46" t="n">
        <f aca="false">MIN(0,MIN(Thresholds!$E$73:$N$73))</f>
        <v>0</v>
      </c>
      <c r="I112" s="46" t="n">
        <f aca="false">H112-G112</f>
        <v>0</v>
      </c>
      <c r="J112" s="53" t="n">
        <v>1E-009</v>
      </c>
      <c r="K112" s="38" t="str">
        <f aca="false">IF(ISERROR(I112),"FAIL",IF(ABS(I112)&lt;=J112,"PASS","FAIL"))</f>
        <v>PASS</v>
      </c>
    </row>
    <row r="113" customFormat="false" ht="30" hidden="false" customHeight="true" outlineLevel="0" collapsed="false">
      <c r="B113" s="43" t="n">
        <v>103</v>
      </c>
      <c r="C113" s="9" t="s">
        <v>448</v>
      </c>
      <c r="D113" s="9" t="s">
        <v>476</v>
      </c>
      <c r="E113" s="52" t="s">
        <v>520</v>
      </c>
      <c r="F113" s="44" t="s">
        <v>478</v>
      </c>
      <c r="G113" s="47" t="n">
        <v>0</v>
      </c>
      <c r="H113" s="46" t="n">
        <f aca="false">Thresholds!I28-0</f>
        <v>0</v>
      </c>
      <c r="I113" s="46" t="n">
        <f aca="false">H113-G113</f>
        <v>0</v>
      </c>
      <c r="J113" s="53" t="n">
        <v>1E-006</v>
      </c>
      <c r="K113" s="38" t="str">
        <f aca="false">IF(ISERROR(I113),"FAIL",IF(ABS(I113)&lt;=J113,"PASS","FAIL"))</f>
        <v>PASS</v>
      </c>
    </row>
    <row r="114" customFormat="false" ht="30" hidden="false" customHeight="true" outlineLevel="0" collapsed="false">
      <c r="B114" s="43" t="n">
        <v>104</v>
      </c>
      <c r="C114" s="9" t="s">
        <v>448</v>
      </c>
      <c r="D114" s="9" t="s">
        <v>476</v>
      </c>
      <c r="E114" s="52" t="s">
        <v>521</v>
      </c>
      <c r="F114" s="44" t="s">
        <v>478</v>
      </c>
      <c r="G114" s="47" t="n">
        <v>0</v>
      </c>
      <c r="H114" s="46" t="n">
        <f aca="false">Thresholds!D137+NPV(Thresholds!$C$138,Thresholds!$E$137:$N$137)</f>
        <v>8.29913915367797E-012</v>
      </c>
      <c r="I114" s="46" t="n">
        <f aca="false">H114-G114</f>
        <v>8.29913915367797E-012</v>
      </c>
      <c r="J114" s="53" t="n">
        <v>1E-005</v>
      </c>
      <c r="K114" s="38" t="str">
        <f aca="false">IF(ISERROR(I114),"FAIL",IF(ABS(I114)&lt;=J114,"PASS","FAIL"))</f>
        <v>PASS</v>
      </c>
    </row>
    <row r="115" customFormat="false" ht="30" hidden="false" customHeight="true" outlineLevel="0" collapsed="false">
      <c r="B115" s="43" t="n">
        <v>105</v>
      </c>
      <c r="C115" s="9" t="s">
        <v>448</v>
      </c>
      <c r="D115" s="9" t="s">
        <v>476</v>
      </c>
      <c r="E115" s="52" t="s">
        <v>522</v>
      </c>
      <c r="F115" s="44" t="s">
        <v>478</v>
      </c>
      <c r="G115" s="47" t="n">
        <v>0</v>
      </c>
      <c r="H115" s="46" t="n">
        <f aca="false">Thresholds!D166+NPV(Thresholds!$C$167,Thresholds!$E$166:$N$166)</f>
        <v>0</v>
      </c>
      <c r="I115" s="46" t="n">
        <f aca="false">H115-G115</f>
        <v>0</v>
      </c>
      <c r="J115" s="53" t="n">
        <v>1E-005</v>
      </c>
      <c r="K115" s="38" t="str">
        <f aca="false">IF(ISERROR(I115),"FAIL",IF(ABS(I115)&lt;=J115,"PASS","FAIL"))</f>
        <v>PASS</v>
      </c>
    </row>
    <row r="116" customFormat="false" ht="30" hidden="false" customHeight="true" outlineLevel="0" collapsed="false">
      <c r="B116" s="43" t="n">
        <v>106</v>
      </c>
      <c r="C116" s="9" t="s">
        <v>448</v>
      </c>
      <c r="D116" s="9" t="s">
        <v>476</v>
      </c>
      <c r="E116" s="52" t="s">
        <v>523</v>
      </c>
      <c r="F116" s="44" t="s">
        <v>478</v>
      </c>
      <c r="G116" s="47" t="n">
        <v>0</v>
      </c>
      <c r="H116" s="46" t="n">
        <f aca="false">MIN(0,MIN(Thresholds!$E$159:$N$159))</f>
        <v>0</v>
      </c>
      <c r="I116" s="46" t="n">
        <f aca="false">H116-G116</f>
        <v>0</v>
      </c>
      <c r="J116" s="53" t="n">
        <v>1E-009</v>
      </c>
      <c r="K116" s="38" t="str">
        <f aca="false">IF(ISERROR(I116),"FAIL",IF(ABS(I116)&lt;=J116,"PASS","FAIL"))</f>
        <v>PASS</v>
      </c>
    </row>
    <row r="117" customFormat="false" ht="30" hidden="false" customHeight="true" outlineLevel="0" collapsed="false">
      <c r="B117" s="43" t="n">
        <v>107</v>
      </c>
      <c r="C117" s="9" t="s">
        <v>448</v>
      </c>
      <c r="D117" s="9" t="s">
        <v>476</v>
      </c>
      <c r="E117" s="52" t="s">
        <v>524</v>
      </c>
      <c r="F117" s="44" t="s">
        <v>478</v>
      </c>
      <c r="G117" s="47" t="n">
        <v>0</v>
      </c>
      <c r="H117" s="46" t="n">
        <f aca="false">Thresholds!$C$167-Inputs!$C$97</f>
        <v>0</v>
      </c>
      <c r="I117" s="46" t="n">
        <f aca="false">H117-G117</f>
        <v>0</v>
      </c>
      <c r="J117" s="53" t="n">
        <v>1E-006</v>
      </c>
      <c r="K117" s="38" t="str">
        <f aca="false">IF(ISERROR(I117),"FAIL",IF(ABS(I117)&lt;=J117,"PASS","FAIL"))</f>
        <v>PASS</v>
      </c>
    </row>
    <row r="118" customFormat="false" ht="30" hidden="false" customHeight="true" outlineLevel="0" collapsed="false">
      <c r="B118" s="43" t="n">
        <v>108</v>
      </c>
      <c r="C118" s="9" t="s">
        <v>448</v>
      </c>
      <c r="D118" s="9" t="s">
        <v>476</v>
      </c>
      <c r="E118" s="52" t="s">
        <v>525</v>
      </c>
      <c r="F118" s="44" t="s">
        <v>478</v>
      </c>
      <c r="G118" s="47" t="n">
        <v>0</v>
      </c>
      <c r="H118" s="46" t="n">
        <f aca="false">Thresholds!D223+NPV(Thresholds!$C$224,Thresholds!$E$223:$N$223)</f>
        <v>0</v>
      </c>
      <c r="I118" s="46" t="n">
        <f aca="false">H118-G118</f>
        <v>0</v>
      </c>
      <c r="J118" s="53" t="n">
        <v>1E-005</v>
      </c>
      <c r="K118" s="38" t="str">
        <f aca="false">IF(ISERROR(I118),"FAIL",IF(ABS(I118)&lt;=J118,"PASS","FAIL"))</f>
        <v>PASS</v>
      </c>
    </row>
    <row r="119" customFormat="false" ht="30" hidden="false" customHeight="true" outlineLevel="0" collapsed="false">
      <c r="B119" s="43" t="n">
        <v>109</v>
      </c>
      <c r="C119" s="9" t="s">
        <v>448</v>
      </c>
      <c r="D119" s="9" t="s">
        <v>476</v>
      </c>
      <c r="E119" s="52" t="s">
        <v>526</v>
      </c>
      <c r="F119" s="44" t="s">
        <v>478</v>
      </c>
      <c r="G119" s="47" t="n">
        <v>0</v>
      </c>
      <c r="H119" s="46" t="n">
        <f aca="false">Thresholds!D252+NPV(Thresholds!$C$253,Thresholds!$E$252:$N$252)</f>
        <v>1.74907199834706E-010</v>
      </c>
      <c r="I119" s="46" t="n">
        <f aca="false">H119-G119</f>
        <v>1.74907199834706E-010</v>
      </c>
      <c r="J119" s="53" t="n">
        <v>1E-005</v>
      </c>
      <c r="K119" s="38" t="str">
        <f aca="false">IF(ISERROR(I119),"FAIL",IF(ABS(I119)&lt;=J119,"PASS","FAIL"))</f>
        <v>PASS</v>
      </c>
    </row>
    <row r="120" customFormat="false" ht="30" hidden="false" customHeight="true" outlineLevel="0" collapsed="false">
      <c r="B120" s="43" t="n">
        <v>110</v>
      </c>
      <c r="C120" s="9" t="s">
        <v>448</v>
      </c>
      <c r="D120" s="9" t="s">
        <v>476</v>
      </c>
      <c r="E120" s="52" t="s">
        <v>527</v>
      </c>
      <c r="F120" s="44" t="s">
        <v>478</v>
      </c>
      <c r="G120" s="47" t="n">
        <v>0</v>
      </c>
      <c r="H120" s="46" t="n">
        <f aca="false">MIN(0,MIN(Thresholds!$E$245:$N$245))</f>
        <v>0</v>
      </c>
      <c r="I120" s="46" t="n">
        <f aca="false">H120-G120</f>
        <v>0</v>
      </c>
      <c r="J120" s="53" t="n">
        <v>1E-009</v>
      </c>
      <c r="K120" s="38" t="str">
        <f aca="false">IF(ISERROR(I120),"FAIL",IF(ABS(I120)&lt;=J120,"PASS","FAIL"))</f>
        <v>PASS</v>
      </c>
    </row>
    <row r="121" customFormat="false" ht="30" hidden="false" customHeight="true" outlineLevel="0" collapsed="false">
      <c r="B121" s="43" t="n">
        <v>111</v>
      </c>
      <c r="C121" s="9" t="s">
        <v>448</v>
      </c>
      <c r="D121" s="9" t="s">
        <v>476</v>
      </c>
      <c r="E121" s="52" t="s">
        <v>528</v>
      </c>
      <c r="F121" s="44" t="s">
        <v>478</v>
      </c>
      <c r="G121" s="47" t="n">
        <v>0</v>
      </c>
      <c r="H121" s="46" t="n">
        <f aca="false">Thresholds!$C$248-Inputs!$C$88</f>
        <v>0</v>
      </c>
      <c r="I121" s="46" t="n">
        <f aca="false">H121-G121</f>
        <v>0</v>
      </c>
      <c r="J121" s="53" t="n">
        <v>1E-006</v>
      </c>
      <c r="K121" s="38" t="str">
        <f aca="false">IF(ISERROR(I121),"FAIL",IF(ABS(I121)&lt;=J121,"PASS","FAIL"))</f>
        <v>PASS</v>
      </c>
    </row>
    <row r="122" customFormat="false" ht="30" hidden="false" customHeight="true" outlineLevel="0" collapsed="false">
      <c r="B122" s="43" t="n">
        <v>112</v>
      </c>
      <c r="C122" s="9" t="s">
        <v>448</v>
      </c>
      <c r="D122" s="9" t="s">
        <v>476</v>
      </c>
      <c r="E122" s="52" t="s">
        <v>529</v>
      </c>
      <c r="F122" s="44" t="s">
        <v>478</v>
      </c>
      <c r="G122" s="47" t="n">
        <v>0</v>
      </c>
      <c r="H122" s="46" t="n">
        <f aca="false">Thresholds!D309+NPV(Thresholds!$C$310,Thresholds!$E$309:$N$309)</f>
        <v>8.86757334228605E-012</v>
      </c>
      <c r="I122" s="46" t="n">
        <f aca="false">H122-G122</f>
        <v>8.86757334228605E-012</v>
      </c>
      <c r="J122" s="53" t="n">
        <v>1E-005</v>
      </c>
      <c r="K122" s="38" t="str">
        <f aca="false">IF(ISERROR(I122),"FAIL",IF(ABS(I122)&lt;=J122,"PASS","FAIL"))</f>
        <v>PASS</v>
      </c>
    </row>
    <row r="123" customFormat="false" ht="30" hidden="false" customHeight="true" outlineLevel="0" collapsed="false">
      <c r="B123" s="43" t="n">
        <v>113</v>
      </c>
      <c r="C123" s="9" t="s">
        <v>448</v>
      </c>
      <c r="D123" s="9" t="s">
        <v>476</v>
      </c>
      <c r="E123" s="52" t="s">
        <v>530</v>
      </c>
      <c r="F123" s="44" t="s">
        <v>478</v>
      </c>
      <c r="G123" s="47" t="n">
        <v>0</v>
      </c>
      <c r="H123" s="46" t="n">
        <f aca="false">Thresholds!D338+NPV(Thresholds!$C$339,Thresholds!$E$338:$N$338)</f>
        <v>0</v>
      </c>
      <c r="I123" s="46" t="n">
        <f aca="false">H123-G123</f>
        <v>0</v>
      </c>
      <c r="J123" s="53" t="n">
        <v>1E-005</v>
      </c>
      <c r="K123" s="38" t="str">
        <f aca="false">IF(ISERROR(I123),"FAIL",IF(ABS(I123)&lt;=J123,"PASS","FAIL"))</f>
        <v>PASS</v>
      </c>
    </row>
    <row r="124" customFormat="false" ht="30" hidden="false" customHeight="true" outlineLevel="0" collapsed="false">
      <c r="B124" s="43" t="n">
        <v>114</v>
      </c>
      <c r="C124" s="9" t="s">
        <v>448</v>
      </c>
      <c r="D124" s="9" t="s">
        <v>476</v>
      </c>
      <c r="E124" s="52" t="s">
        <v>531</v>
      </c>
      <c r="F124" s="44" t="s">
        <v>478</v>
      </c>
      <c r="G124" s="47" t="n">
        <v>0</v>
      </c>
      <c r="H124" s="46" t="n">
        <f aca="false">MIN(0,MIN(Thresholds!$E$331:$N$331))</f>
        <v>0</v>
      </c>
      <c r="I124" s="46" t="n">
        <f aca="false">H124-G124</f>
        <v>0</v>
      </c>
      <c r="J124" s="53" t="n">
        <v>1E-009</v>
      </c>
      <c r="K124" s="38" t="str">
        <f aca="false">IF(ISERROR(I124),"FAIL",IF(ABS(I124)&lt;=J124,"PASS","FAIL"))</f>
        <v>PASS</v>
      </c>
    </row>
    <row r="125" customFormat="false" ht="30" hidden="false" customHeight="true" outlineLevel="0" collapsed="false">
      <c r="B125" s="43" t="n">
        <v>115</v>
      </c>
      <c r="C125" s="9" t="s">
        <v>448</v>
      </c>
      <c r="D125" s="9" t="s">
        <v>476</v>
      </c>
      <c r="E125" s="52" t="s">
        <v>532</v>
      </c>
      <c r="F125" s="44" t="s">
        <v>478</v>
      </c>
      <c r="G125" s="47" t="n">
        <v>0</v>
      </c>
      <c r="H125" s="46" t="n">
        <f aca="false">Thresholds!$C$339-Inputs!$C$97</f>
        <v>0</v>
      </c>
      <c r="I125" s="46" t="n">
        <f aca="false">H125-G125</f>
        <v>0</v>
      </c>
      <c r="J125" s="53" t="n">
        <v>1E-006</v>
      </c>
      <c r="K125" s="38" t="str">
        <f aca="false">IF(ISERROR(I125),"FAIL",IF(ABS(I125)&lt;=J125,"PASS","FAIL"))</f>
        <v>PASS</v>
      </c>
    </row>
    <row r="126" customFormat="false" ht="30" hidden="false" customHeight="true" outlineLevel="0" collapsed="false">
      <c r="B126" s="43" t="n">
        <v>116</v>
      </c>
      <c r="C126" s="9" t="s">
        <v>448</v>
      </c>
      <c r="D126" s="9" t="s">
        <v>476</v>
      </c>
      <c r="E126" s="52" t="s">
        <v>533</v>
      </c>
      <c r="F126" s="44" t="s">
        <v>478</v>
      </c>
      <c r="G126" s="47" t="n">
        <v>0</v>
      </c>
      <c r="H126" s="46" t="n">
        <f aca="false">Thresholds!D395+NPV(Thresholds!$C$396,Thresholds!$E$395:$N$395)</f>
        <v>0</v>
      </c>
      <c r="I126" s="46" t="n">
        <f aca="false">H126-G126</f>
        <v>0</v>
      </c>
      <c r="J126" s="53" t="n">
        <v>1E-005</v>
      </c>
      <c r="K126" s="38" t="str">
        <f aca="false">IF(ISERROR(I126),"FAIL",IF(ABS(I126)&lt;=J126,"PASS","FAIL"))</f>
        <v>PASS</v>
      </c>
    </row>
    <row r="127" customFormat="false" ht="30" hidden="false" customHeight="true" outlineLevel="0" collapsed="false">
      <c r="B127" s="43" t="n">
        <v>117</v>
      </c>
      <c r="C127" s="9" t="s">
        <v>448</v>
      </c>
      <c r="D127" s="9" t="s">
        <v>476</v>
      </c>
      <c r="E127" s="52" t="s">
        <v>534</v>
      </c>
      <c r="F127" s="44" t="s">
        <v>478</v>
      </c>
      <c r="G127" s="47" t="n">
        <v>0</v>
      </c>
      <c r="H127" s="46" t="n">
        <f aca="false">Thresholds!D424+NPV(Thresholds!$C$425,Thresholds!$E$424:$N$424)</f>
        <v>0</v>
      </c>
      <c r="I127" s="46" t="n">
        <f aca="false">H127-G127</f>
        <v>0</v>
      </c>
      <c r="J127" s="53" t="n">
        <v>1E-005</v>
      </c>
      <c r="K127" s="38" t="str">
        <f aca="false">IF(ISERROR(I127),"FAIL",IF(ABS(I127)&lt;=J127,"PASS","FAIL"))</f>
        <v>PASS</v>
      </c>
    </row>
    <row r="128" customFormat="false" ht="30" hidden="false" customHeight="true" outlineLevel="0" collapsed="false">
      <c r="B128" s="43" t="n">
        <v>118</v>
      </c>
      <c r="C128" s="9" t="s">
        <v>448</v>
      </c>
      <c r="D128" s="9" t="s">
        <v>476</v>
      </c>
      <c r="E128" s="52" t="s">
        <v>535</v>
      </c>
      <c r="F128" s="44" t="s">
        <v>478</v>
      </c>
      <c r="G128" s="47" t="n">
        <v>0</v>
      </c>
      <c r="H128" s="46" t="n">
        <f aca="false">MIN(0,MIN(Thresholds!$E$417:$N$417))</f>
        <v>0</v>
      </c>
      <c r="I128" s="46" t="n">
        <f aca="false">H128-G128</f>
        <v>0</v>
      </c>
      <c r="J128" s="53" t="n">
        <v>1E-009</v>
      </c>
      <c r="K128" s="38" t="str">
        <f aca="false">IF(ISERROR(I128),"FAIL",IF(ABS(I128)&lt;=J128,"PASS","FAIL"))</f>
        <v>PASS</v>
      </c>
    </row>
    <row r="129" customFormat="false" ht="30" hidden="false" customHeight="true" outlineLevel="0" collapsed="false">
      <c r="B129" s="43" t="n">
        <v>119</v>
      </c>
      <c r="C129" s="9" t="s">
        <v>448</v>
      </c>
      <c r="D129" s="9" t="s">
        <v>476</v>
      </c>
      <c r="E129" s="52" t="s">
        <v>536</v>
      </c>
      <c r="F129" s="44" t="s">
        <v>478</v>
      </c>
      <c r="G129" s="47" t="n">
        <v>0</v>
      </c>
      <c r="H129" s="46" t="n">
        <f aca="false">Thresholds!$C$425-Inputs!$C$97</f>
        <v>0</v>
      </c>
      <c r="I129" s="46" t="n">
        <f aca="false">H129-G129</f>
        <v>0</v>
      </c>
      <c r="J129" s="53" t="n">
        <v>1E-006</v>
      </c>
      <c r="K129" s="38" t="str">
        <f aca="false">IF(ISERROR(I129),"FAIL",IF(ABS(I129)&lt;=J129,"PASS","FAIL"))</f>
        <v>PASS</v>
      </c>
    </row>
    <row r="130" customFormat="false" ht="30" hidden="false" customHeight="true" outlineLevel="0" collapsed="false">
      <c r="B130" s="43" t="n">
        <v>120</v>
      </c>
      <c r="C130" s="9" t="s">
        <v>448</v>
      </c>
      <c r="D130" s="9" t="s">
        <v>476</v>
      </c>
      <c r="E130" s="52" t="s">
        <v>537</v>
      </c>
      <c r="F130" s="44" t="s">
        <v>478</v>
      </c>
      <c r="G130" s="47" t="n">
        <v>0</v>
      </c>
      <c r="H130" s="46" t="n">
        <f aca="false">Thresholds!D481+NPV(Thresholds!$C$482,Thresholds!$E$481:$N$481)</f>
        <v>9.32232069317251E-012</v>
      </c>
      <c r="I130" s="46" t="n">
        <f aca="false">H130-G130</f>
        <v>9.32232069317251E-012</v>
      </c>
      <c r="J130" s="53" t="n">
        <v>1E-005</v>
      </c>
      <c r="K130" s="38" t="str">
        <f aca="false">IF(ISERROR(I130),"FAIL",IF(ABS(I130)&lt;=J130,"PASS","FAIL"))</f>
        <v>PASS</v>
      </c>
    </row>
    <row r="131" customFormat="false" ht="30" hidden="false" customHeight="true" outlineLevel="0" collapsed="false">
      <c r="B131" s="43" t="n">
        <v>121</v>
      </c>
      <c r="C131" s="9" t="s">
        <v>448</v>
      </c>
      <c r="D131" s="9" t="s">
        <v>476</v>
      </c>
      <c r="E131" s="52" t="s">
        <v>538</v>
      </c>
      <c r="F131" s="44" t="s">
        <v>478</v>
      </c>
      <c r="G131" s="47" t="n">
        <v>0</v>
      </c>
      <c r="H131" s="46" t="n">
        <f aca="false">Thresholds!D510+NPV(Thresholds!$C$511,Thresholds!$E$510:$N$510)</f>
        <v>0</v>
      </c>
      <c r="I131" s="46" t="n">
        <f aca="false">H131-G131</f>
        <v>0</v>
      </c>
      <c r="J131" s="53" t="n">
        <v>1E-005</v>
      </c>
      <c r="K131" s="38" t="str">
        <f aca="false">IF(ISERROR(I131),"FAIL",IF(ABS(I131)&lt;=J131,"PASS","FAIL"))</f>
        <v>PASS</v>
      </c>
    </row>
    <row r="132" customFormat="false" ht="30" hidden="false" customHeight="true" outlineLevel="0" collapsed="false">
      <c r="B132" s="43" t="n">
        <v>122</v>
      </c>
      <c r="C132" s="9" t="s">
        <v>448</v>
      </c>
      <c r="D132" s="9" t="s">
        <v>476</v>
      </c>
      <c r="E132" s="52" t="s">
        <v>539</v>
      </c>
      <c r="F132" s="44" t="s">
        <v>478</v>
      </c>
      <c r="G132" s="47" t="n">
        <v>0</v>
      </c>
      <c r="H132" s="46" t="n">
        <f aca="false">MIN(0,MIN(Thresholds!$E$503:$N$503))</f>
        <v>0</v>
      </c>
      <c r="I132" s="46" t="n">
        <f aca="false">H132-G132</f>
        <v>0</v>
      </c>
      <c r="J132" s="53" t="n">
        <v>1E-009</v>
      </c>
      <c r="K132" s="38" t="str">
        <f aca="false">IF(ISERROR(I132),"FAIL",IF(ABS(I132)&lt;=J132,"PASS","FAIL"))</f>
        <v>PASS</v>
      </c>
    </row>
    <row r="133" customFormat="false" ht="30" hidden="false" customHeight="true" outlineLevel="0" collapsed="false">
      <c r="B133" s="43" t="n">
        <v>123</v>
      </c>
      <c r="C133" s="9" t="s">
        <v>448</v>
      </c>
      <c r="D133" s="9" t="s">
        <v>476</v>
      </c>
      <c r="E133" s="52" t="s">
        <v>540</v>
      </c>
      <c r="F133" s="44" t="s">
        <v>478</v>
      </c>
      <c r="G133" s="47" t="n">
        <v>0</v>
      </c>
      <c r="H133" s="46" t="n">
        <f aca="false">Thresholds!$C$511-Inputs!$C$97</f>
        <v>0</v>
      </c>
      <c r="I133" s="46" t="n">
        <f aca="false">H133-G133</f>
        <v>0</v>
      </c>
      <c r="J133" s="53" t="n">
        <v>1E-006</v>
      </c>
      <c r="K133" s="38" t="str">
        <f aca="false">IF(ISERROR(I133),"FAIL",IF(ABS(I133)&lt;=J133,"PASS","FAIL"))</f>
        <v>PASS</v>
      </c>
    </row>
    <row r="134" customFormat="false" ht="30" hidden="false" customHeight="true" outlineLevel="0" collapsed="false">
      <c r="B134" s="43" t="n">
        <v>124</v>
      </c>
      <c r="C134" s="9" t="s">
        <v>448</v>
      </c>
      <c r="D134" s="9" t="s">
        <v>476</v>
      </c>
      <c r="E134" s="52" t="s">
        <v>541</v>
      </c>
      <c r="F134" s="44" t="s">
        <v>478</v>
      </c>
      <c r="G134" s="47" t="n">
        <v>0</v>
      </c>
      <c r="H134" s="46" t="n">
        <f aca="false">Thresholds!D567+NPV(Thresholds!$C$568,Thresholds!$E$567:$N$567)</f>
        <v>1.03455022326671E-011</v>
      </c>
      <c r="I134" s="46" t="n">
        <f aca="false">H134-G134</f>
        <v>1.03455022326671E-011</v>
      </c>
      <c r="J134" s="53" t="n">
        <v>1E-005</v>
      </c>
      <c r="K134" s="38" t="str">
        <f aca="false">IF(ISERROR(I134),"FAIL",IF(ABS(I134)&lt;=J134,"PASS","FAIL"))</f>
        <v>PASS</v>
      </c>
    </row>
    <row r="135" customFormat="false" ht="30" hidden="false" customHeight="true" outlineLevel="0" collapsed="false">
      <c r="B135" s="43" t="n">
        <v>125</v>
      </c>
      <c r="C135" s="9" t="s">
        <v>448</v>
      </c>
      <c r="D135" s="9" t="s">
        <v>476</v>
      </c>
      <c r="E135" s="52" t="s">
        <v>542</v>
      </c>
      <c r="F135" s="44" t="s">
        <v>478</v>
      </c>
      <c r="G135" s="47" t="n">
        <v>0</v>
      </c>
      <c r="H135" s="46" t="n">
        <f aca="false">Thresholds!D596+NPV(Thresholds!$C$597,Thresholds!$E$596:$N$596)</f>
        <v>0</v>
      </c>
      <c r="I135" s="46" t="n">
        <f aca="false">H135-G135</f>
        <v>0</v>
      </c>
      <c r="J135" s="53" t="n">
        <v>1E-005</v>
      </c>
      <c r="K135" s="38" t="str">
        <f aca="false">IF(ISERROR(I135),"FAIL",IF(ABS(I135)&lt;=J135,"PASS","FAIL"))</f>
        <v>PASS</v>
      </c>
    </row>
    <row r="136" customFormat="false" ht="30" hidden="false" customHeight="true" outlineLevel="0" collapsed="false">
      <c r="B136" s="43" t="n">
        <v>126</v>
      </c>
      <c r="C136" s="9" t="s">
        <v>448</v>
      </c>
      <c r="D136" s="9" t="s">
        <v>476</v>
      </c>
      <c r="E136" s="52" t="s">
        <v>543</v>
      </c>
      <c r="F136" s="44" t="s">
        <v>478</v>
      </c>
      <c r="G136" s="47" t="n">
        <v>0</v>
      </c>
      <c r="H136" s="46" t="n">
        <f aca="false">MIN(0,MIN(Thresholds!$E$589:$N$589))</f>
        <v>0</v>
      </c>
      <c r="I136" s="46" t="n">
        <f aca="false">H136-G136</f>
        <v>0</v>
      </c>
      <c r="J136" s="53" t="n">
        <v>1E-009</v>
      </c>
      <c r="K136" s="38" t="str">
        <f aca="false">IF(ISERROR(I136),"FAIL",IF(ABS(I136)&lt;=J136,"PASS","FAIL"))</f>
        <v>PASS</v>
      </c>
    </row>
    <row r="137" customFormat="false" ht="30" hidden="false" customHeight="true" outlineLevel="0" collapsed="false">
      <c r="B137" s="43" t="n">
        <v>127</v>
      </c>
      <c r="C137" s="9" t="s">
        <v>448</v>
      </c>
      <c r="D137" s="9" t="s">
        <v>476</v>
      </c>
      <c r="E137" s="52" t="s">
        <v>544</v>
      </c>
      <c r="F137" s="44" t="s">
        <v>478</v>
      </c>
      <c r="G137" s="47" t="n">
        <v>0</v>
      </c>
      <c r="H137" s="46" t="n">
        <f aca="false">Thresholds!$C$597-Inputs!$C$97</f>
        <v>0</v>
      </c>
      <c r="I137" s="46" t="n">
        <f aca="false">H137-G137</f>
        <v>0</v>
      </c>
      <c r="J137" s="53" t="n">
        <v>1E-006</v>
      </c>
      <c r="K137" s="38" t="str">
        <f aca="false">IF(ISERROR(I137),"FAIL",IF(ABS(I137)&lt;=J137,"PASS","FAIL"))</f>
        <v>PASS</v>
      </c>
    </row>
    <row r="138" customFormat="false" ht="30" hidden="false" customHeight="true" outlineLevel="0" collapsed="false">
      <c r="B138" s="43" t="n">
        <v>128</v>
      </c>
      <c r="C138" s="9" t="s">
        <v>448</v>
      </c>
      <c r="D138" s="9" t="s">
        <v>476</v>
      </c>
      <c r="E138" s="52" t="s">
        <v>545</v>
      </c>
      <c r="F138" s="44" t="s">
        <v>478</v>
      </c>
      <c r="G138" s="47" t="n">
        <v>0</v>
      </c>
      <c r="H138" s="46" t="n">
        <f aca="false">Thresholds!D653+NPV(Thresholds!$C$654,Thresholds!$E$653:$N$653)</f>
        <v>0</v>
      </c>
      <c r="I138" s="46" t="n">
        <f aca="false">H138-G138</f>
        <v>0</v>
      </c>
      <c r="J138" s="53" t="n">
        <v>1E-005</v>
      </c>
      <c r="K138" s="38" t="str">
        <f aca="false">IF(ISERROR(I138),"FAIL",IF(ABS(I138)&lt;=J138,"PASS","FAIL"))</f>
        <v>PASS</v>
      </c>
    </row>
    <row r="139" customFormat="false" ht="30" hidden="false" customHeight="true" outlineLevel="0" collapsed="false">
      <c r="B139" s="43" t="n">
        <v>129</v>
      </c>
      <c r="C139" s="9" t="s">
        <v>448</v>
      </c>
      <c r="D139" s="9" t="s">
        <v>476</v>
      </c>
      <c r="E139" s="52" t="s">
        <v>546</v>
      </c>
      <c r="F139" s="44" t="s">
        <v>478</v>
      </c>
      <c r="G139" s="47" t="n">
        <v>0</v>
      </c>
      <c r="H139" s="46" t="n">
        <f aca="false">Thresholds!D682+NPV(Thresholds!$C$683,Thresholds!$E$682:$N$682)</f>
        <v>0</v>
      </c>
      <c r="I139" s="46" t="n">
        <f aca="false">H139-G139</f>
        <v>0</v>
      </c>
      <c r="J139" s="53" t="n">
        <v>1E-005</v>
      </c>
      <c r="K139" s="38" t="str">
        <f aca="false">IF(ISERROR(I139),"FAIL",IF(ABS(I139)&lt;=J139,"PASS","FAIL"))</f>
        <v>PASS</v>
      </c>
    </row>
    <row r="140" customFormat="false" ht="30" hidden="false" customHeight="true" outlineLevel="0" collapsed="false">
      <c r="B140" s="43" t="n">
        <v>130</v>
      </c>
      <c r="C140" s="9" t="s">
        <v>448</v>
      </c>
      <c r="D140" s="9" t="s">
        <v>476</v>
      </c>
      <c r="E140" s="52" t="s">
        <v>547</v>
      </c>
      <c r="F140" s="44" t="s">
        <v>478</v>
      </c>
      <c r="G140" s="47" t="n">
        <v>0</v>
      </c>
      <c r="H140" s="46" t="n">
        <f aca="false">MIN(0,MIN(Thresholds!$E$675:$N$675))</f>
        <v>0</v>
      </c>
      <c r="I140" s="46" t="n">
        <f aca="false">H140-G140</f>
        <v>0</v>
      </c>
      <c r="J140" s="53" t="n">
        <v>1E-009</v>
      </c>
      <c r="K140" s="38" t="str">
        <f aca="false">IF(ISERROR(I140),"FAIL",IF(ABS(I140)&lt;=J140,"PASS","FAIL"))</f>
        <v>PASS</v>
      </c>
    </row>
    <row r="141" customFormat="false" ht="30" hidden="false" customHeight="true" outlineLevel="0" collapsed="false">
      <c r="B141" s="43" t="n">
        <v>131</v>
      </c>
      <c r="C141" s="9" t="s">
        <v>448</v>
      </c>
      <c r="D141" s="9" t="s">
        <v>476</v>
      </c>
      <c r="E141" s="52" t="s">
        <v>548</v>
      </c>
      <c r="F141" s="44" t="s">
        <v>478</v>
      </c>
      <c r="G141" s="47" t="n">
        <v>0</v>
      </c>
      <c r="H141" s="46" t="n">
        <f aca="false">Thresholds!$C$683-Inputs!$C$97</f>
        <v>0</v>
      </c>
      <c r="I141" s="46" t="n">
        <f aca="false">H141-G141</f>
        <v>0</v>
      </c>
      <c r="J141" s="53" t="n">
        <v>1E-006</v>
      </c>
      <c r="K141" s="38" t="str">
        <f aca="false">IF(ISERROR(I141),"FAIL",IF(ABS(I141)&lt;=J141,"PASS","FAIL"))</f>
        <v>PASS</v>
      </c>
    </row>
    <row r="142" customFormat="false" ht="30" hidden="false" customHeight="true" outlineLevel="0" collapsed="false">
      <c r="B142" s="43" t="n">
        <v>132</v>
      </c>
      <c r="C142" s="9" t="s">
        <v>328</v>
      </c>
      <c r="D142" s="9" t="s">
        <v>476</v>
      </c>
      <c r="E142" s="52" t="s">
        <v>549</v>
      </c>
      <c r="F142" s="44" t="s">
        <v>478</v>
      </c>
      <c r="G142" s="47" t="n">
        <v>0</v>
      </c>
      <c r="H142" s="46" t="n">
        <f aca="false">Debt!$C$16-MIN(Debt!$C$13,Debt!$C$15)</f>
        <v>0</v>
      </c>
      <c r="I142" s="46" t="n">
        <f aca="false">H142-G142</f>
        <v>0</v>
      </c>
      <c r="J142" s="53" t="n">
        <v>1E-009</v>
      </c>
      <c r="K142" s="38" t="str">
        <f aca="false">IF(ISERROR(I142),"FAIL",IF(ABS(I142)&lt;=J142,"PASS","FAIL"))</f>
        <v>PASS</v>
      </c>
    </row>
    <row r="143" customFormat="false" ht="30" hidden="false" customHeight="true" outlineLevel="0" collapsed="false">
      <c r="B143" s="43" t="n">
        <v>133</v>
      </c>
      <c r="C143" s="9" t="s">
        <v>328</v>
      </c>
      <c r="D143" s="9" t="s">
        <v>476</v>
      </c>
      <c r="E143" s="52" t="s">
        <v>550</v>
      </c>
      <c r="F143" s="44" t="s">
        <v>478</v>
      </c>
      <c r="G143" s="47" t="n">
        <v>0</v>
      </c>
      <c r="H143" s="46" t="n">
        <f aca="false">Debt!$C$82-Debt!$C$115</f>
        <v>0</v>
      </c>
      <c r="I143" s="46" t="n">
        <f aca="false">H143-G143</f>
        <v>0</v>
      </c>
      <c r="J143" s="53" t="n">
        <v>1E-007</v>
      </c>
      <c r="K143" s="38" t="str">
        <f aca="false">IF(ISERROR(I143),"FAIL",IF(ABS(I143)&lt;=J143,"PASS","FAIL"))</f>
        <v>PASS</v>
      </c>
    </row>
    <row r="144" customFormat="false" ht="30" hidden="false" customHeight="true" outlineLevel="0" collapsed="false">
      <c r="B144" s="43" t="n">
        <v>134</v>
      </c>
      <c r="C144" s="9" t="s">
        <v>347</v>
      </c>
      <c r="D144" s="9" t="s">
        <v>476</v>
      </c>
      <c r="E144" s="52" t="s">
        <v>551</v>
      </c>
      <c r="F144" s="44" t="s">
        <v>478</v>
      </c>
      <c r="G144" s="47" t="n">
        <v>0</v>
      </c>
      <c r="H144" s="46" t="n">
        <f aca="false">SUM(Scenarios!$I$320:$L$320)-SUM(Model!$I$26:$L$26)</f>
        <v>0</v>
      </c>
      <c r="I144" s="46" t="n">
        <f aca="false">H144-G144</f>
        <v>0</v>
      </c>
      <c r="J144" s="53" t="n">
        <v>1E-009</v>
      </c>
      <c r="K144" s="38" t="str">
        <f aca="false">IF(ISERROR(I144),"FAIL",IF(ABS(I144)&lt;=J144,"PASS","FAIL"))</f>
        <v>PASS</v>
      </c>
    </row>
    <row r="145" customFormat="false" ht="30" hidden="false" customHeight="true" outlineLevel="0" collapsed="false">
      <c r="B145" s="43" t="n">
        <v>135</v>
      </c>
      <c r="C145" s="9" t="s">
        <v>402</v>
      </c>
      <c r="D145" s="9" t="s">
        <v>476</v>
      </c>
      <c r="E145" s="52" t="s">
        <v>552</v>
      </c>
      <c r="F145" s="44" t="s">
        <v>478</v>
      </c>
      <c r="G145" s="47" t="n">
        <v>0</v>
      </c>
      <c r="H145" s="46" t="n">
        <f aca="false">NPV(Model!$C$51,Model!$E$50:$N$50)-Model!$C$47</f>
        <v>1.15051079774275E-010</v>
      </c>
      <c r="I145" s="46" t="n">
        <f aca="false">H145-G145</f>
        <v>1.15051079774275E-010</v>
      </c>
      <c r="J145" s="53" t="n">
        <v>1E-005</v>
      </c>
      <c r="K145" s="38" t="str">
        <f aca="false">IF(ISERROR(I145),"FAIL",IF(ABS(I145)&lt;=J145,"PASS","FAIL"))</f>
        <v>PASS</v>
      </c>
    </row>
    <row r="146" customFormat="false" ht="30" hidden="false" customHeight="true" outlineLevel="0" collapsed="false">
      <c r="B146" s="43" t="n">
        <v>136</v>
      </c>
      <c r="C146" s="9" t="s">
        <v>328</v>
      </c>
      <c r="D146" s="9" t="s">
        <v>476</v>
      </c>
      <c r="E146" s="52" t="s">
        <v>553</v>
      </c>
      <c r="F146" s="44" t="s">
        <v>478</v>
      </c>
      <c r="G146" s="47" t="n">
        <v>0</v>
      </c>
      <c r="H146" s="46" t="n">
        <f aca="false">IF(MIN(Debt!$E$27:$N$27)&gt;Inputs!$C$88,0,1)</f>
        <v>0</v>
      </c>
      <c r="I146" s="46" t="n">
        <f aca="false">H146-G146</f>
        <v>0</v>
      </c>
      <c r="J146" s="53" t="n">
        <v>0</v>
      </c>
      <c r="K146" s="38" t="str">
        <f aca="false">IF(ISERROR(I146),"FAIL",IF(ABS(I146)&lt;=J146,"PASS","FAIL"))</f>
        <v>PASS</v>
      </c>
    </row>
  </sheetData>
  <mergeCells count="4">
    <mergeCell ref="C5:D5"/>
    <mergeCell ref="C6:D6"/>
    <mergeCell ref="C7:D7"/>
    <mergeCell ref="C8:D8"/>
  </mergeCells>
  <conditionalFormatting sqref="K11:K146">
    <cfRule type="cellIs" priority="2" operator="equal" aboveAverage="0" equalAverage="0" bottom="0" percent="0" rank="0" text="" dxfId="0">
      <formula>"FAIL"</formula>
    </cfRule>
  </conditionalFormatting>
  <conditionalFormatting sqref="E7">
    <cfRule type="cellIs" priority="3" operator="greaterThan" aboveAverage="0" equalAverage="0" bottom="0" percent="0" rank="0" text="" dxfId="0">
      <formula>0</formula>
    </cfRule>
  </conditionalFormatting>
  <conditionalFormatting sqref="E8">
    <cfRule type="cellIs" priority="4" operator="equal" aboveAverage="0" equalAverage="0" bottom="0" percent="0" rank="0" text="" dxfId="0">
      <formula>"FAIL"</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2026-09-25T06:28:57Z</dcterms:created>
  <dc:creator>openpyxl</dc:creator>
  <dc:description/>
  <dc:language>en-US</dc:language>
  <cp:lastModifiedBy/>
  <dcterms:modified xsi:type="dcterms:W3CDTF">2026-09-25T06:29:00Z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