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gress" sheetId="2" state="visible" r:id="rId2"/>
    <sheet xmlns:r="http://schemas.openxmlformats.org/officeDocument/2006/relationships" name="Data_Center" sheetId="3" state="visible" r:id="rId3"/>
    <sheet xmlns:r="http://schemas.openxmlformats.org/officeDocument/2006/relationships" name="Fiber" sheetId="4" state="visible" r:id="rId4"/>
    <sheet xmlns:r="http://schemas.openxmlformats.org/officeDocument/2006/relationships" name="Tower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"/>
    <numFmt numFmtId="165" formatCode="&quot;$&quot;#,##0.00"/>
    <numFmt numFmtId="166" formatCode="0.0%"/>
    <numFmt numFmtId="167" formatCode="0.00x"/>
    <numFmt numFmtId="168" formatCode="&quot;$&quot;#,##0"/>
    <numFmt numFmtId="169" formatCode="0.0x"/>
    <numFmt numFmtId="170" formatCode="0.0000"/>
    <numFmt numFmtId="171" formatCode="#,##0.0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</font>
    <font>
      <name val="Calibri"/>
      <color rgb="005B6475"/>
    </font>
    <font>
      <name val="Calibri"/>
      <color rgb="001F4FB4"/>
    </font>
    <font>
      <name val="Calibri"/>
      <b val="1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FF3F8"/>
      </patternFill>
    </fill>
    <fill>
      <patternFill patternType="solid">
        <fgColor rgb="0016213A"/>
      </patternFill>
    </fill>
  </fills>
  <borders count="2">
    <border>
      <left/>
      <right/>
      <top/>
      <bottom/>
      <diagonal/>
    </border>
    <border>
      <left style="thin">
        <color rgb="009AA3B2"/>
      </left>
      <right style="thin">
        <color rgb="009AA3B2"/>
      </right>
      <top style="thin">
        <color rgb="009AA3B2"/>
      </top>
      <bottom style="thin">
        <color rgb="009AA3B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0" fillId="3" borderId="1" pivotButton="0" quotePrefix="0" xfId="0"/>
    <xf numFmtId="0" fontId="3" fillId="0" borderId="0" pivotButton="0" quotePrefix="0" xfId="0"/>
    <xf numFmtId="0" fontId="2" fillId="0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6" fontId="4" fillId="2" borderId="1" pivotButton="0" quotePrefix="0" xfId="0"/>
    <xf numFmtId="9" fontId="4" fillId="2" borderId="1" pivotButton="0" quotePrefix="0" xfId="0"/>
    <xf numFmtId="2" fontId="4" fillId="2" borderId="1" pivotButton="0" quotePrefix="0" xfId="0"/>
    <xf numFmtId="10" fontId="4" fillId="2" borderId="1" pivotButton="0" quotePrefix="0" xfId="0"/>
    <xf numFmtId="0" fontId="5" fillId="0" borderId="0" pivotButton="0" quotePrefix="0" xfId="0"/>
    <xf numFmtId="0" fontId="0" fillId="3" borderId="0" pivotButton="0" quotePrefix="0" xfId="0"/>
    <xf numFmtId="0" fontId="6" fillId="4" borderId="0" pivotButton="0" quotePrefix="0" xfId="0"/>
    <xf numFmtId="0" fontId="6" fillId="4" borderId="1" pivotButton="0" quotePrefix="0" xfId="0"/>
    <xf numFmtId="165" fontId="2" fillId="3" borderId="1" pivotButton="0" quotePrefix="0" xfId="0"/>
    <xf numFmtId="3" fontId="2" fillId="3" borderId="1" pivotButton="0" quotePrefix="0" xfId="0"/>
    <xf numFmtId="0" fontId="5" fillId="0" borderId="1" pivotButton="0" quotePrefix="0" xfId="0"/>
    <xf numFmtId="165" fontId="5" fillId="3" borderId="1" pivotButton="0" quotePrefix="0" xfId="0"/>
    <xf numFmtId="167" fontId="2" fillId="3" borderId="1" pivotButton="0" quotePrefix="0" xfId="0"/>
    <xf numFmtId="10" fontId="0" fillId="3" borderId="1" pivotButton="0" quotePrefix="0" xfId="0"/>
    <xf numFmtId="3" fontId="4" fillId="2" borderId="1" pivotButton="0" quotePrefix="0" xfId="0"/>
    <xf numFmtId="168" fontId="4" fillId="2" borderId="1" pivotButton="0" quotePrefix="0" xfId="0"/>
    <xf numFmtId="169" fontId="4" fillId="2" borderId="1" pivotButton="0" quotePrefix="0" xfId="0"/>
    <xf numFmtId="0" fontId="0" fillId="0" borderId="1" pivotButton="0" quotePrefix="0" xfId="0"/>
    <xf numFmtId="170" fontId="4" fillId="2" borderId="1" pivotButton="0" quotePrefix="0" xfId="0"/>
    <xf numFmtId="171" fontId="2" fillId="3" borderId="1" pivotButton="0" quotePrefix="0" xfId="0"/>
    <xf numFmtId="2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 ht="6" customHeight="1"/>
    <row r="2" ht="18" customHeight="1">
      <c r="B2" s="1" t="inlineStr">
        <is>
          <t>The Digital Infrastructure Investor: blank models for your own assets</t>
        </is>
      </c>
    </row>
    <row r="3" ht="34" customHeight="1">
      <c r="B3" s="2" t="inlineStr">
        <is>
          <t>Three compact models, one per asset type, built like the book's workbooks but simpler: one data center lease, one fiber network already built, one tower portfolio. Yellow cells are yours to fill; grey cells are formulas.</t>
        </is>
      </c>
    </row>
    <row r="4" ht="34" customHeight="1">
      <c r="B4" s="2" t="inlineStr">
        <is>
          <t>Nothing is computed until every yellow cell of a sheet is filled. Progress counts what is still empty.</t>
        </is>
      </c>
    </row>
    <row r="5" ht="34" customHeight="1">
      <c r="B5" s="2" t="inlineStr">
        <is>
          <t>Filled with the book's assumptions, Data_Center gives Halvard DC1's year-1 phase-1 rent ($52.99 million) and energy margin ($2.42 million), Towers gives Pellam's year-1 EBITDA ($13.15 million). The book's full models, with phase 2, the outcomes at lease end, the build program and the debt, are in the four main workbooks.</t>
        </is>
      </c>
    </row>
    <row r="6" ht="34" customHeight="1">
      <c r="B6" s="3" t="inlineStr">
        <is>
          <t>No macros, nothing locked or hidden. julianrsterling.com/digitalinfra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22" customWidth="1" min="3" max="3"/>
  </cols>
  <sheetData>
    <row r="1" ht="6" customHeight="1"/>
    <row r="2">
      <c r="B2" s="4" t="inlineStr">
        <is>
          <t>Inputs still empty</t>
        </is>
      </c>
    </row>
    <row r="4">
      <c r="B4" s="5" t="inlineStr">
        <is>
          <t>Data_Center</t>
        </is>
      </c>
      <c r="C4" s="6">
        <f>COUNTBLANK(Data_Center!C5:C24)</f>
        <v/>
      </c>
    </row>
    <row r="5">
      <c r="B5" s="5" t="inlineStr">
        <is>
          <t>Fiber</t>
        </is>
      </c>
      <c r="C5" s="6">
        <f>COUNTBLANK(Fiber!C5:C22)+COUNTBLANK(Fiber!D28:M28)</f>
        <v/>
      </c>
    </row>
    <row r="6">
      <c r="B6" s="5" t="inlineStr">
        <is>
          <t>Towers</t>
        </is>
      </c>
      <c r="C6" s="6">
        <f>COUNTBLANK(Towers!C5:C28)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N4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6" customHeight="1"/>
    <row r="2">
      <c r="B2" s="4" t="inlineStr">
        <is>
          <t>Data center: one single-tenant lease, ten years</t>
        </is>
      </c>
    </row>
    <row r="3">
      <c r="B3" s="7" t="inlineStr">
        <is>
          <t>Fill every yellow cell. Formulas stay blank until all are filled.</t>
        </is>
      </c>
    </row>
    <row r="5">
      <c r="B5" s="8" t="inlineStr">
        <is>
          <t>Critical IT capacity leased (MW)</t>
        </is>
      </c>
      <c r="C5" s="9" t="n"/>
    </row>
    <row r="6">
      <c r="B6" s="8" t="inlineStr">
        <is>
          <t>Capacity rent, year 1 ($ per kW per month)</t>
        </is>
      </c>
      <c r="C6" s="10" t="n"/>
    </row>
    <row r="7">
      <c r="B7" s="8" t="inlineStr">
        <is>
          <t>Rent escalator (a year)</t>
        </is>
      </c>
      <c r="C7" s="11" t="n"/>
    </row>
    <row r="8">
      <c r="B8" s="8" t="inlineStr">
        <is>
          <t>Average IT load (share of capacity)</t>
        </is>
      </c>
      <c r="C8" s="12" t="n"/>
    </row>
    <row r="9">
      <c r="B9" s="8" t="inlineStr">
        <is>
          <t>Contract PUE cap</t>
        </is>
      </c>
      <c r="C9" s="13" t="n"/>
    </row>
    <row r="10">
      <c r="B10" s="8" t="inlineStr">
        <is>
          <t>Actual PUE</t>
        </is>
      </c>
      <c r="C10" s="13" t="n"/>
    </row>
    <row r="11">
      <c r="B11" s="8" t="inlineStr">
        <is>
          <t>Energy tariff billed to tenant, year 1 ($/MWh)</t>
        </is>
      </c>
      <c r="C11" s="10" t="n"/>
    </row>
    <row r="12">
      <c r="B12" s="8" t="inlineStr">
        <is>
          <t>Tariff escalator (a year)</t>
        </is>
      </c>
      <c r="C12" s="11" t="n"/>
    </row>
    <row r="13">
      <c r="B13" s="8" t="inlineStr">
        <is>
          <t>Landlord's supply price, year 1 ($/MWh)</t>
        </is>
      </c>
      <c r="C13" s="10" t="n"/>
    </row>
    <row r="14">
      <c r="B14" s="8" t="inlineStr">
        <is>
          <t>Supply price escalator (a year)</t>
        </is>
      </c>
      <c r="C14" s="11" t="n"/>
    </row>
    <row r="15">
      <c r="B15" s="8" t="inlineStr">
        <is>
          <t>Landlord operating costs, year 1 ($ million)</t>
        </is>
      </c>
      <c r="C15" s="10" t="n"/>
    </row>
    <row r="16">
      <c r="B16" s="8" t="inlineStr">
        <is>
          <t>Cost escalator (a year)</t>
        </is>
      </c>
      <c r="C16" s="11" t="n"/>
    </row>
    <row r="17">
      <c r="B17" s="8" t="inlineStr">
        <is>
          <t>Management fee (share of rent)</t>
        </is>
      </c>
      <c r="C17" s="11" t="n"/>
    </row>
    <row r="18">
      <c r="B18" s="8" t="inlineStr">
        <is>
          <t>Major-repair reserve, year 1 ($ million)</t>
        </is>
      </c>
      <c r="C18" s="10" t="n"/>
    </row>
    <row r="19">
      <c r="B19" s="8" t="inlineStr">
        <is>
          <t>Price ($ million)</t>
        </is>
      </c>
      <c r="C19" s="10" t="n"/>
    </row>
    <row r="20">
      <c r="B20" s="8" t="inlineStr">
        <is>
          <t>Transaction costs (share of price)</t>
        </is>
      </c>
      <c r="C20" s="11" t="n"/>
    </row>
    <row r="21">
      <c r="B21" s="8" t="inlineStr">
        <is>
          <t>Exit cap rate on year-11 NOI</t>
        </is>
      </c>
      <c r="C21" s="14" t="n"/>
    </row>
    <row r="22">
      <c r="B22" s="8" t="inlineStr">
        <is>
          <t>Exit costs (share of exit value)</t>
        </is>
      </c>
      <c r="C22" s="11" t="n"/>
    </row>
    <row r="23">
      <c r="B23" s="8" t="inlineStr">
        <is>
          <t>Loan to value</t>
        </is>
      </c>
      <c r="C23" s="12" t="n"/>
    </row>
    <row r="24">
      <c r="B24" s="8" t="inlineStr">
        <is>
          <t>Loan interest rate (interest only)</t>
        </is>
      </c>
      <c r="C24" s="14" t="n"/>
    </row>
    <row r="26">
      <c r="B26" s="15" t="inlineStr">
        <is>
          <t>All inputs filled</t>
        </is>
      </c>
      <c r="C26" s="16">
        <f>COUNTBLANK(C5:C24)=0</f>
        <v/>
      </c>
    </row>
    <row r="27">
      <c r="B27" s="7" t="inlineStr">
        <is>
          <t>Amounts in $ million unless stated. Years 1 to 11; year 11 is the forward year for the exit.</t>
        </is>
      </c>
    </row>
    <row r="28">
      <c r="B28" s="17" t="inlineStr">
        <is>
          <t>Year</t>
        </is>
      </c>
      <c r="C28" s="18" t="n">
        <v>0</v>
      </c>
      <c r="D28" s="18" t="n">
        <v>1</v>
      </c>
      <c r="E28" s="18" t="n">
        <v>2</v>
      </c>
      <c r="F28" s="18" t="n">
        <v>3</v>
      </c>
      <c r="G28" s="18" t="n">
        <v>4</v>
      </c>
      <c r="H28" s="18" t="n">
        <v>5</v>
      </c>
      <c r="I28" s="18" t="n">
        <v>6</v>
      </c>
      <c r="J28" s="18" t="n">
        <v>7</v>
      </c>
      <c r="K28" s="18" t="n">
        <v>8</v>
      </c>
      <c r="L28" s="18" t="n">
        <v>9</v>
      </c>
      <c r="M28" s="18" t="n">
        <v>10</v>
      </c>
      <c r="N28" s="18" t="n">
        <v>11</v>
      </c>
    </row>
    <row r="29">
      <c r="B29" s="8" t="inlineStr">
        <is>
          <t>Capacity rent</t>
        </is>
      </c>
      <c r="D29" s="19">
        <f>IF($C$26,$C$5*1000*$C$6*12*(1+$C$7)^(1-1)/10^6,"")</f>
        <v/>
      </c>
      <c r="E29" s="19">
        <f>IF($C$26,$C$5*1000*$C$6*12*(1+$C$7)^(2-1)/10^6,"")</f>
        <v/>
      </c>
      <c r="F29" s="19">
        <f>IF($C$26,$C$5*1000*$C$6*12*(1+$C$7)^(3-1)/10^6,"")</f>
        <v/>
      </c>
      <c r="G29" s="19">
        <f>IF($C$26,$C$5*1000*$C$6*12*(1+$C$7)^(4-1)/10^6,"")</f>
        <v/>
      </c>
      <c r="H29" s="19">
        <f>IF($C$26,$C$5*1000*$C$6*12*(1+$C$7)^(5-1)/10^6,"")</f>
        <v/>
      </c>
      <c r="I29" s="19">
        <f>IF($C$26,$C$5*1000*$C$6*12*(1+$C$7)^(6-1)/10^6,"")</f>
        <v/>
      </c>
      <c r="J29" s="19">
        <f>IF($C$26,$C$5*1000*$C$6*12*(1+$C$7)^(7-1)/10^6,"")</f>
        <v/>
      </c>
      <c r="K29" s="19">
        <f>IF($C$26,$C$5*1000*$C$6*12*(1+$C$7)^(8-1)/10^6,"")</f>
        <v/>
      </c>
      <c r="L29" s="19">
        <f>IF($C$26,$C$5*1000*$C$6*12*(1+$C$7)^(9-1)/10^6,"")</f>
        <v/>
      </c>
      <c r="M29" s="19">
        <f>IF($C$26,$C$5*1000*$C$6*12*(1+$C$7)^(10-1)/10^6,"")</f>
        <v/>
      </c>
      <c r="N29" s="19">
        <f>IF($C$26,$C$5*1000*$C$6*12*(1+$C$7)^(11-1)/10^6,"")</f>
        <v/>
      </c>
    </row>
    <row r="30">
      <c r="B30" s="8" t="inlineStr">
        <is>
          <t>IT energy (MWh)</t>
        </is>
      </c>
      <c r="D30" s="20">
        <f>IF($C$26,$C$5*$C$8*8760,"")</f>
        <v/>
      </c>
      <c r="E30" s="20">
        <f>IF($C$26,$C$5*$C$8*8760,"")</f>
        <v/>
      </c>
      <c r="F30" s="20">
        <f>IF($C$26,$C$5*$C$8*8760,"")</f>
        <v/>
      </c>
      <c r="G30" s="20">
        <f>IF($C$26,$C$5*$C$8*8760,"")</f>
        <v/>
      </c>
      <c r="H30" s="20">
        <f>IF($C$26,$C$5*$C$8*8760,"")</f>
        <v/>
      </c>
      <c r="I30" s="20">
        <f>IF($C$26,$C$5*$C$8*8760,"")</f>
        <v/>
      </c>
      <c r="J30" s="20">
        <f>IF($C$26,$C$5*$C$8*8760,"")</f>
        <v/>
      </c>
      <c r="K30" s="20">
        <f>IF($C$26,$C$5*$C$8*8760,"")</f>
        <v/>
      </c>
      <c r="L30" s="20">
        <f>IF($C$26,$C$5*$C$8*8760,"")</f>
        <v/>
      </c>
      <c r="M30" s="20">
        <f>IF($C$26,$C$5*$C$8*8760,"")</f>
        <v/>
      </c>
      <c r="N30" s="20">
        <f>IF($C$26,$C$5*$C$8*8760,"")</f>
        <v/>
      </c>
    </row>
    <row r="31">
      <c r="B31" s="8" t="inlineStr">
        <is>
          <t>Tariff billed ($/MWh)</t>
        </is>
      </c>
      <c r="D31" s="19">
        <f>IF($C$26,$C$11*(1+$C$12)^(1-1),"")</f>
        <v/>
      </c>
      <c r="E31" s="19">
        <f>IF($C$26,$C$11*(1+$C$12)^(2-1),"")</f>
        <v/>
      </c>
      <c r="F31" s="19">
        <f>IF($C$26,$C$11*(1+$C$12)^(3-1),"")</f>
        <v/>
      </c>
      <c r="G31" s="19">
        <f>IF($C$26,$C$11*(1+$C$12)^(4-1),"")</f>
        <v/>
      </c>
      <c r="H31" s="19">
        <f>IF($C$26,$C$11*(1+$C$12)^(5-1),"")</f>
        <v/>
      </c>
      <c r="I31" s="19">
        <f>IF($C$26,$C$11*(1+$C$12)^(6-1),"")</f>
        <v/>
      </c>
      <c r="J31" s="19">
        <f>IF($C$26,$C$11*(1+$C$12)^(7-1),"")</f>
        <v/>
      </c>
      <c r="K31" s="19">
        <f>IF($C$26,$C$11*(1+$C$12)^(8-1),"")</f>
        <v/>
      </c>
      <c r="L31" s="19">
        <f>IF($C$26,$C$11*(1+$C$12)^(9-1),"")</f>
        <v/>
      </c>
      <c r="M31" s="19">
        <f>IF($C$26,$C$11*(1+$C$12)^(10-1),"")</f>
        <v/>
      </c>
      <c r="N31" s="19">
        <f>IF($C$26,$C$11*(1+$C$12)^(11-1),"")</f>
        <v/>
      </c>
    </row>
    <row r="32">
      <c r="B32" s="8" t="inlineStr">
        <is>
          <t>Supply price ($/MWh)</t>
        </is>
      </c>
      <c r="D32" s="19">
        <f>IF($C$26,$C$13*(1+$C$14)^(1-1),"")</f>
        <v/>
      </c>
      <c r="E32" s="19">
        <f>IF($C$26,$C$13*(1+$C$14)^(2-1),"")</f>
        <v/>
      </c>
      <c r="F32" s="19">
        <f>IF($C$26,$C$13*(1+$C$14)^(3-1),"")</f>
        <v/>
      </c>
      <c r="G32" s="19">
        <f>IF($C$26,$C$13*(1+$C$14)^(4-1),"")</f>
        <v/>
      </c>
      <c r="H32" s="19">
        <f>IF($C$26,$C$13*(1+$C$14)^(5-1),"")</f>
        <v/>
      </c>
      <c r="I32" s="19">
        <f>IF($C$26,$C$13*(1+$C$14)^(6-1),"")</f>
        <v/>
      </c>
      <c r="J32" s="19">
        <f>IF($C$26,$C$13*(1+$C$14)^(7-1),"")</f>
        <v/>
      </c>
      <c r="K32" s="19">
        <f>IF($C$26,$C$13*(1+$C$14)^(8-1),"")</f>
        <v/>
      </c>
      <c r="L32" s="19">
        <f>IF($C$26,$C$13*(1+$C$14)^(9-1),"")</f>
        <v/>
      </c>
      <c r="M32" s="19">
        <f>IF($C$26,$C$13*(1+$C$14)^(10-1),"")</f>
        <v/>
      </c>
      <c r="N32" s="19">
        <f>IF($C$26,$C$13*(1+$C$14)^(11-1),"")</f>
        <v/>
      </c>
    </row>
    <row r="33">
      <c r="B33" s="8" t="inlineStr">
        <is>
          <t>Energy margin</t>
        </is>
      </c>
      <c r="D33" s="19">
        <f>IF($C$26,D30*($C$9*D31-$C$10*D32)/10^6,"")</f>
        <v/>
      </c>
      <c r="E33" s="19">
        <f>IF($C$26,E30*($C$9*E31-$C$10*E32)/10^6,"")</f>
        <v/>
      </c>
      <c r="F33" s="19">
        <f>IF($C$26,F30*($C$9*F31-$C$10*F32)/10^6,"")</f>
        <v/>
      </c>
      <c r="G33" s="19">
        <f>IF($C$26,G30*($C$9*G31-$C$10*G32)/10^6,"")</f>
        <v/>
      </c>
      <c r="H33" s="19">
        <f>IF($C$26,H30*($C$9*H31-$C$10*H32)/10^6,"")</f>
        <v/>
      </c>
      <c r="I33" s="19">
        <f>IF($C$26,I30*($C$9*I31-$C$10*I32)/10^6,"")</f>
        <v/>
      </c>
      <c r="J33" s="19">
        <f>IF($C$26,J30*($C$9*J31-$C$10*J32)/10^6,"")</f>
        <v/>
      </c>
      <c r="K33" s="19">
        <f>IF($C$26,K30*($C$9*K31-$C$10*K32)/10^6,"")</f>
        <v/>
      </c>
      <c r="L33" s="19">
        <f>IF($C$26,L30*($C$9*L31-$C$10*L32)/10^6,"")</f>
        <v/>
      </c>
      <c r="M33" s="19">
        <f>IF($C$26,M30*($C$9*M31-$C$10*M32)/10^6,"")</f>
        <v/>
      </c>
      <c r="N33" s="19">
        <f>IF($C$26,N30*($C$9*N31-$C$10*N32)/10^6,"")</f>
        <v/>
      </c>
    </row>
    <row r="34">
      <c r="B34" s="8" t="inlineStr">
        <is>
          <t>Operating costs</t>
        </is>
      </c>
      <c r="D34" s="19">
        <f>IF($C$26,$C$15*(1+$C$16)^(1-1),"")</f>
        <v/>
      </c>
      <c r="E34" s="19">
        <f>IF($C$26,$C$15*(1+$C$16)^(2-1),"")</f>
        <v/>
      </c>
      <c r="F34" s="19">
        <f>IF($C$26,$C$15*(1+$C$16)^(3-1),"")</f>
        <v/>
      </c>
      <c r="G34" s="19">
        <f>IF($C$26,$C$15*(1+$C$16)^(4-1),"")</f>
        <v/>
      </c>
      <c r="H34" s="19">
        <f>IF($C$26,$C$15*(1+$C$16)^(5-1),"")</f>
        <v/>
      </c>
      <c r="I34" s="19">
        <f>IF($C$26,$C$15*(1+$C$16)^(6-1),"")</f>
        <v/>
      </c>
      <c r="J34" s="19">
        <f>IF($C$26,$C$15*(1+$C$16)^(7-1),"")</f>
        <v/>
      </c>
      <c r="K34" s="19">
        <f>IF($C$26,$C$15*(1+$C$16)^(8-1),"")</f>
        <v/>
      </c>
      <c r="L34" s="19">
        <f>IF($C$26,$C$15*(1+$C$16)^(9-1),"")</f>
        <v/>
      </c>
      <c r="M34" s="19">
        <f>IF($C$26,$C$15*(1+$C$16)^(10-1),"")</f>
        <v/>
      </c>
      <c r="N34" s="19">
        <f>IF($C$26,$C$15*(1+$C$16)^(11-1),"")</f>
        <v/>
      </c>
    </row>
    <row r="35">
      <c r="B35" s="8" t="inlineStr">
        <is>
          <t>Management</t>
        </is>
      </c>
      <c r="D35" s="19">
        <f>IF($C$26,$C$17*D29,"")</f>
        <v/>
      </c>
      <c r="E35" s="19">
        <f>IF($C$26,$C$17*E29,"")</f>
        <v/>
      </c>
      <c r="F35" s="19">
        <f>IF($C$26,$C$17*F29,"")</f>
        <v/>
      </c>
      <c r="G35" s="19">
        <f>IF($C$26,$C$17*G29,"")</f>
        <v/>
      </c>
      <c r="H35" s="19">
        <f>IF($C$26,$C$17*H29,"")</f>
        <v/>
      </c>
      <c r="I35" s="19">
        <f>IF($C$26,$C$17*I29,"")</f>
        <v/>
      </c>
      <c r="J35" s="19">
        <f>IF($C$26,$C$17*J29,"")</f>
        <v/>
      </c>
      <c r="K35" s="19">
        <f>IF($C$26,$C$17*K29,"")</f>
        <v/>
      </c>
      <c r="L35" s="19">
        <f>IF($C$26,$C$17*L29,"")</f>
        <v/>
      </c>
      <c r="M35" s="19">
        <f>IF($C$26,$C$17*M29,"")</f>
        <v/>
      </c>
      <c r="N35" s="19">
        <f>IF($C$26,$C$17*N29,"")</f>
        <v/>
      </c>
    </row>
    <row r="36">
      <c r="B36" s="21" t="inlineStr">
        <is>
          <t>NOI</t>
        </is>
      </c>
      <c r="D36" s="22">
        <f>IF($C$26,D29+D33-D34-D35,"")</f>
        <v/>
      </c>
      <c r="E36" s="22">
        <f>IF($C$26,E29+E33-E34-E35,"")</f>
        <v/>
      </c>
      <c r="F36" s="22">
        <f>IF($C$26,F29+F33-F34-F35,"")</f>
        <v/>
      </c>
      <c r="G36" s="22">
        <f>IF($C$26,G29+G33-G34-G35,"")</f>
        <v/>
      </c>
      <c r="H36" s="22">
        <f>IF($C$26,H29+H33-H34-H35,"")</f>
        <v/>
      </c>
      <c r="I36" s="22">
        <f>IF($C$26,I29+I33-I34-I35,"")</f>
        <v/>
      </c>
      <c r="J36" s="22">
        <f>IF($C$26,J29+J33-J34-J35,"")</f>
        <v/>
      </c>
      <c r="K36" s="22">
        <f>IF($C$26,K29+K33-K34-K35,"")</f>
        <v/>
      </c>
      <c r="L36" s="22">
        <f>IF($C$26,L29+L33-L34-L35,"")</f>
        <v/>
      </c>
      <c r="M36" s="22">
        <f>IF($C$26,M29+M33-M34-M35,"")</f>
        <v/>
      </c>
      <c r="N36" s="22">
        <f>IF($C$26,N29+N33-N34-N35,"")</f>
        <v/>
      </c>
    </row>
    <row r="37">
      <c r="B37" s="8" t="inlineStr">
        <is>
          <t>Reserve (below NOI)</t>
        </is>
      </c>
      <c r="D37" s="19">
        <f>IF($C$26,$C$18*(1+$C$16)^(1-1),"")</f>
        <v/>
      </c>
      <c r="E37" s="19">
        <f>IF($C$26,$C$18*(1+$C$16)^(2-1),"")</f>
        <v/>
      </c>
      <c r="F37" s="19">
        <f>IF($C$26,$C$18*(1+$C$16)^(3-1),"")</f>
        <v/>
      </c>
      <c r="G37" s="19">
        <f>IF($C$26,$C$18*(1+$C$16)^(4-1),"")</f>
        <v/>
      </c>
      <c r="H37" s="19">
        <f>IF($C$26,$C$18*(1+$C$16)^(5-1),"")</f>
        <v/>
      </c>
      <c r="I37" s="19">
        <f>IF($C$26,$C$18*(1+$C$16)^(6-1),"")</f>
        <v/>
      </c>
      <c r="J37" s="19">
        <f>IF($C$26,$C$18*(1+$C$16)^(7-1),"")</f>
        <v/>
      </c>
      <c r="K37" s="19">
        <f>IF($C$26,$C$18*(1+$C$16)^(8-1),"")</f>
        <v/>
      </c>
      <c r="L37" s="19">
        <f>IF($C$26,$C$18*(1+$C$16)^(9-1),"")</f>
        <v/>
      </c>
      <c r="M37" s="19">
        <f>IF($C$26,$C$18*(1+$C$16)^(10-1),"")</f>
        <v/>
      </c>
      <c r="N37" s="19">
        <f>IF($C$26,$C$18*(1+$C$16)^(11-1),"")</f>
        <v/>
      </c>
    </row>
    <row r="38">
      <c r="B38" s="21" t="inlineStr">
        <is>
          <t>Unlevered cash flow (year 10 includes the exit)</t>
        </is>
      </c>
      <c r="C38" s="22">
        <f>IF($C$26,-$C$19*(1+$C$20),"")</f>
        <v/>
      </c>
      <c r="D38" s="22">
        <f>IF($C$26,D36-D37,"")</f>
        <v/>
      </c>
      <c r="E38" s="22">
        <f>IF($C$26,E36-E37,"")</f>
        <v/>
      </c>
      <c r="F38" s="22">
        <f>IF($C$26,F36-F37,"")</f>
        <v/>
      </c>
      <c r="G38" s="22">
        <f>IF($C$26,G36-G37,"")</f>
        <v/>
      </c>
      <c r="H38" s="22">
        <f>IF($C$26,H36-H37,"")</f>
        <v/>
      </c>
      <c r="I38" s="22">
        <f>IF($C$26,I36-I37,"")</f>
        <v/>
      </c>
      <c r="J38" s="22">
        <f>IF($C$26,J36-J37,"")</f>
        <v/>
      </c>
      <c r="K38" s="22">
        <f>IF($C$26,K36-K37,"")</f>
        <v/>
      </c>
      <c r="L38" s="22">
        <f>IF($C$26,L36-L37,"")</f>
        <v/>
      </c>
      <c r="M38" s="22">
        <f>IF($C$26,M36-M37+N36/$C$21*(1-$C$22),"")</f>
        <v/>
      </c>
    </row>
    <row r="39">
      <c r="B39" s="8" t="inlineStr">
        <is>
          <t>Interest (interest-only loan)</t>
        </is>
      </c>
      <c r="D39" s="19">
        <f>IF($C$26,$C$23*$C$19*$C$24,"")</f>
        <v/>
      </c>
      <c r="E39" s="19">
        <f>IF($C$26,$C$23*$C$19*$C$24,"")</f>
        <v/>
      </c>
      <c r="F39" s="19">
        <f>IF($C$26,$C$23*$C$19*$C$24,"")</f>
        <v/>
      </c>
      <c r="G39" s="19">
        <f>IF($C$26,$C$23*$C$19*$C$24,"")</f>
        <v/>
      </c>
      <c r="H39" s="19">
        <f>IF($C$26,$C$23*$C$19*$C$24,"")</f>
        <v/>
      </c>
      <c r="I39" s="19">
        <f>IF($C$26,$C$23*$C$19*$C$24,"")</f>
        <v/>
      </c>
      <c r="J39" s="19">
        <f>IF($C$26,$C$23*$C$19*$C$24,"")</f>
        <v/>
      </c>
      <c r="K39" s="19">
        <f>IF($C$26,$C$23*$C$19*$C$24,"")</f>
        <v/>
      </c>
      <c r="L39" s="19">
        <f>IF($C$26,$C$23*$C$19*$C$24,"")</f>
        <v/>
      </c>
      <c r="M39" s="19">
        <f>IF($C$26,$C$23*$C$19*$C$24,"")</f>
        <v/>
      </c>
    </row>
    <row r="40">
      <c r="B40" s="8" t="inlineStr">
        <is>
          <t>DSCR ((NOI - reserve) / interest)</t>
        </is>
      </c>
      <c r="D40" s="23">
        <f>IF($C$26,(D36-D37)/D39,"")</f>
        <v/>
      </c>
      <c r="E40" s="23">
        <f>IF($C$26,(E36-E37)/E39,"")</f>
        <v/>
      </c>
      <c r="F40" s="23">
        <f>IF($C$26,(F36-F37)/F39,"")</f>
        <v/>
      </c>
      <c r="G40" s="23">
        <f>IF($C$26,(G36-G37)/G39,"")</f>
        <v/>
      </c>
      <c r="H40" s="23">
        <f>IF($C$26,(H36-H37)/H39,"")</f>
        <v/>
      </c>
      <c r="I40" s="23">
        <f>IF($C$26,(I36-I37)/I39,"")</f>
        <v/>
      </c>
      <c r="J40" s="23">
        <f>IF($C$26,(J36-J37)/J39,"")</f>
        <v/>
      </c>
      <c r="K40" s="23">
        <f>IF($C$26,(K36-K37)/K39,"")</f>
        <v/>
      </c>
      <c r="L40" s="23">
        <f>IF($C$26,(L36-L37)/L39,"")</f>
        <v/>
      </c>
      <c r="M40" s="23">
        <f>IF($C$26,(M36-M37)/M39,"")</f>
        <v/>
      </c>
    </row>
    <row r="41">
      <c r="B41" s="21" t="inlineStr">
        <is>
          <t>Equity cash flow</t>
        </is>
      </c>
      <c r="C41" s="22">
        <f>IF($C$26,C38+$C$23*$C$19,"")</f>
        <v/>
      </c>
      <c r="D41" s="22">
        <f>IF($C$26,D38-D39,"")</f>
        <v/>
      </c>
      <c r="E41" s="22">
        <f>IF($C$26,E38-E39,"")</f>
        <v/>
      </c>
      <c r="F41" s="22">
        <f>IF($C$26,F38-F39,"")</f>
        <v/>
      </c>
      <c r="G41" s="22">
        <f>IF($C$26,G38-G39,"")</f>
        <v/>
      </c>
      <c r="H41" s="22">
        <f>IF($C$26,H38-H39,"")</f>
        <v/>
      </c>
      <c r="I41" s="22">
        <f>IF($C$26,I38-I39,"")</f>
        <v/>
      </c>
      <c r="J41" s="22">
        <f>IF($C$26,J38-J39,"")</f>
        <v/>
      </c>
      <c r="K41" s="22">
        <f>IF($C$26,K38-K39,"")</f>
        <v/>
      </c>
      <c r="L41" s="22">
        <f>IF($C$26,L38-L39,"")</f>
        <v/>
      </c>
      <c r="M41" s="22">
        <f>IF($C$26,M38-M39-$C$23*$C$19,"")</f>
        <v/>
      </c>
    </row>
    <row r="43">
      <c r="B43" s="15" t="inlineStr">
        <is>
          <t>Unlevered IRR</t>
        </is>
      </c>
      <c r="C43" s="24">
        <f>IF($C$26,IRR(C38:M38),"")</f>
        <v/>
      </c>
    </row>
    <row r="44">
      <c r="B44" s="15" t="inlineStr">
        <is>
          <t>Equity IRR</t>
        </is>
      </c>
      <c r="C44" s="24">
        <f>IF($C$26,IRR(C41:M41),"")</f>
        <v/>
      </c>
    </row>
    <row r="45">
      <c r="B45" s="15" t="inlineStr">
        <is>
          <t>Going-in cap rate (year-1 NOI / price)</t>
        </is>
      </c>
      <c r="C45" s="24">
        <f>IF($C$26,D36/$C$19,"")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M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6" customHeight="1"/>
    <row r="2">
      <c r="B2" s="4" t="inlineStr">
        <is>
          <t>Fiber: one built network, penetration path of your own</t>
        </is>
      </c>
    </row>
    <row r="3">
      <c r="B3" s="7" t="inlineStr">
        <is>
          <t>Fill every yellow cell, including the penetration row. Formulas stay blank until all are filled.</t>
        </is>
      </c>
    </row>
    <row r="5">
      <c r="B5" s="8" t="inlineStr">
        <is>
          <t>Homes passed (no further build)</t>
        </is>
      </c>
      <c r="C5" s="25" t="n"/>
    </row>
    <row r="6">
      <c r="B6" s="8" t="inlineStr">
        <is>
          <t>ARPU, year 1 ($ per month)</t>
        </is>
      </c>
      <c r="C6" s="10" t="n"/>
    </row>
    <row r="7">
      <c r="B7" s="8" t="inlineStr">
        <is>
          <t>ARPU escalator (a year)</t>
        </is>
      </c>
      <c r="C7" s="11" t="n"/>
    </row>
    <row r="8">
      <c r="B8" s="8" t="inlineStr">
        <is>
          <t>Cost per subscriber, year 1 ($ per month)</t>
        </is>
      </c>
      <c r="C8" s="10" t="n"/>
    </row>
    <row r="9">
      <c r="B9" s="8" t="inlineStr">
        <is>
          <t>Network cost per home passed, year 1 ($ per month)</t>
        </is>
      </c>
      <c r="C9" s="10" t="n"/>
    </row>
    <row r="10">
      <c r="B10" s="8" t="inlineStr">
        <is>
          <t>Cost escalator (a year)</t>
        </is>
      </c>
      <c r="C10" s="11" t="n"/>
    </row>
    <row r="11">
      <c r="B11" s="8" t="inlineStr">
        <is>
          <t>Overhead, year 1 ($ million)</t>
        </is>
      </c>
      <c r="C11" s="10" t="n"/>
    </row>
    <row r="12">
      <c r="B12" s="8" t="inlineStr">
        <is>
          <t>Overhead escalator (a year)</t>
        </is>
      </c>
      <c r="C12" s="11" t="n"/>
    </row>
    <row r="13">
      <c r="B13" s="8" t="inlineStr">
        <is>
          <t>Churn (a month)</t>
        </is>
      </c>
      <c r="C13" s="14" t="n"/>
    </row>
    <row r="14">
      <c r="B14" s="8" t="inlineStr">
        <is>
          <t>Connection cost per new subscriber ($)</t>
        </is>
      </c>
      <c r="C14" s="26" t="n"/>
    </row>
    <row r="15">
      <c r="B15" s="8" t="inlineStr">
        <is>
          <t>Reconnection cost after churn ($)</t>
        </is>
      </c>
      <c r="C15" s="26" t="n"/>
    </row>
    <row r="16">
      <c r="B16" s="8" t="inlineStr">
        <is>
          <t>Maintenance capex per home passed ($ a year)</t>
        </is>
      </c>
      <c r="C16" s="26" t="n"/>
    </row>
    <row r="17">
      <c r="B17" s="8" t="inlineStr">
        <is>
          <t>Capex escalator (a year)</t>
        </is>
      </c>
      <c r="C17" s="11" t="n"/>
    </row>
    <row r="18">
      <c r="B18" s="8" t="inlineStr">
        <is>
          <t>Subscribers at purchase (end of year 0)</t>
        </is>
      </c>
      <c r="C18" s="25" t="n"/>
    </row>
    <row r="19">
      <c r="B19" s="8" t="inlineStr">
        <is>
          <t>Enterprise value paid ($ million)</t>
        </is>
      </c>
      <c r="C19" s="10" t="n"/>
    </row>
    <row r="20">
      <c r="B20" s="8" t="inlineStr">
        <is>
          <t>Transaction costs (share of price)</t>
        </is>
      </c>
      <c r="C20" s="11" t="n"/>
    </row>
    <row r="21">
      <c r="B21" s="8" t="inlineStr">
        <is>
          <t>Exit multiple of year-10 EBITDA</t>
        </is>
      </c>
      <c r="C21" s="27" t="n"/>
    </row>
    <row r="22">
      <c r="B22" s="8" t="inlineStr">
        <is>
          <t>Exit costs (share of exit value)</t>
        </is>
      </c>
      <c r="C22" s="11" t="n"/>
    </row>
    <row r="24">
      <c r="B24" s="15" t="inlineStr">
        <is>
          <t>All inputs filled</t>
        </is>
      </c>
      <c r="C24" s="16">
        <f>AND(COUNTBLANK(C5:C22)=0,COUNTBLANK(D28:M28)=0)</f>
        <v/>
      </c>
    </row>
    <row r="26">
      <c r="B26" s="7" t="inlineStr">
        <is>
          <t>Amounts in $ million unless stated.</t>
        </is>
      </c>
    </row>
    <row r="27">
      <c r="B27" s="17" t="inlineStr">
        <is>
          <t>Year</t>
        </is>
      </c>
      <c r="C27" s="18" t="n">
        <v>0</v>
      </c>
      <c r="D27" s="18" t="n">
        <v>1</v>
      </c>
      <c r="E27" s="18" t="n">
        <v>2</v>
      </c>
      <c r="F27" s="18" t="n">
        <v>3</v>
      </c>
      <c r="G27" s="18" t="n">
        <v>4</v>
      </c>
      <c r="H27" s="18" t="n">
        <v>5</v>
      </c>
      <c r="I27" s="18" t="n">
        <v>6</v>
      </c>
      <c r="J27" s="18" t="n">
        <v>7</v>
      </c>
      <c r="K27" s="18" t="n">
        <v>8</v>
      </c>
      <c r="L27" s="18" t="n">
        <v>9</v>
      </c>
      <c r="M27" s="18" t="n">
        <v>10</v>
      </c>
    </row>
    <row r="28">
      <c r="B28" s="28" t="inlineStr">
        <is>
          <t>Penetration at end of year (input)</t>
        </is>
      </c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</row>
    <row r="29">
      <c r="B29" s="8" t="inlineStr">
        <is>
          <t>Subscribers at end of year</t>
        </is>
      </c>
      <c r="C29" s="20">
        <f>IF($C$24,$C$18,"")</f>
        <v/>
      </c>
      <c r="D29" s="20">
        <f>IF($C$24,$C$5*D28,"")</f>
        <v/>
      </c>
      <c r="E29" s="20">
        <f>IF($C$24,$C$5*E28,"")</f>
        <v/>
      </c>
      <c r="F29" s="20">
        <f>IF($C$24,$C$5*F28,"")</f>
        <v/>
      </c>
      <c r="G29" s="20">
        <f>IF($C$24,$C$5*G28,"")</f>
        <v/>
      </c>
      <c r="H29" s="20">
        <f>IF($C$24,$C$5*H28,"")</f>
        <v/>
      </c>
      <c r="I29" s="20">
        <f>IF($C$24,$C$5*I28,"")</f>
        <v/>
      </c>
      <c r="J29" s="20">
        <f>IF($C$24,$C$5*J28,"")</f>
        <v/>
      </c>
      <c r="K29" s="20">
        <f>IF($C$24,$C$5*K28,"")</f>
        <v/>
      </c>
      <c r="L29" s="20">
        <f>IF($C$24,$C$5*L28,"")</f>
        <v/>
      </c>
      <c r="M29" s="20">
        <f>IF($C$24,$C$5*M28,"")</f>
        <v/>
      </c>
    </row>
    <row r="30">
      <c r="B30" s="8" t="inlineStr">
        <is>
          <t>Average subscribers</t>
        </is>
      </c>
      <c r="D30" s="20">
        <f>IF($C$24,(D29+C29)/2,"")</f>
        <v/>
      </c>
      <c r="E30" s="20">
        <f>IF($C$24,(E29+D29)/2,"")</f>
        <v/>
      </c>
      <c r="F30" s="20">
        <f>IF($C$24,(F29+E29)/2,"")</f>
        <v/>
      </c>
      <c r="G30" s="20">
        <f>IF($C$24,(G29+F29)/2,"")</f>
        <v/>
      </c>
      <c r="H30" s="20">
        <f>IF($C$24,(H29+G29)/2,"")</f>
        <v/>
      </c>
      <c r="I30" s="20">
        <f>IF($C$24,(I29+H29)/2,"")</f>
        <v/>
      </c>
      <c r="J30" s="20">
        <f>IF($C$24,(J29+I29)/2,"")</f>
        <v/>
      </c>
      <c r="K30" s="20">
        <f>IF($C$24,(K29+J29)/2,"")</f>
        <v/>
      </c>
      <c r="L30" s="20">
        <f>IF($C$24,(L29+K29)/2,"")</f>
        <v/>
      </c>
      <c r="M30" s="20">
        <f>IF($C$24,(M29+L29)/2,"")</f>
        <v/>
      </c>
    </row>
    <row r="31">
      <c r="B31" s="8" t="inlineStr">
        <is>
          <t>ARPU ($ per month)</t>
        </is>
      </c>
      <c r="D31" s="19">
        <f>IF($C$24,$C$6*(1+$C$7)^(1-1),"")</f>
        <v/>
      </c>
      <c r="E31" s="19">
        <f>IF($C$24,$C$6*(1+$C$7)^(2-1),"")</f>
        <v/>
      </c>
      <c r="F31" s="19">
        <f>IF($C$24,$C$6*(1+$C$7)^(3-1),"")</f>
        <v/>
      </c>
      <c r="G31" s="19">
        <f>IF($C$24,$C$6*(1+$C$7)^(4-1),"")</f>
        <v/>
      </c>
      <c r="H31" s="19">
        <f>IF($C$24,$C$6*(1+$C$7)^(5-1),"")</f>
        <v/>
      </c>
      <c r="I31" s="19">
        <f>IF($C$24,$C$6*(1+$C$7)^(6-1),"")</f>
        <v/>
      </c>
      <c r="J31" s="19">
        <f>IF($C$24,$C$6*(1+$C$7)^(7-1),"")</f>
        <v/>
      </c>
      <c r="K31" s="19">
        <f>IF($C$24,$C$6*(1+$C$7)^(8-1),"")</f>
        <v/>
      </c>
      <c r="L31" s="19">
        <f>IF($C$24,$C$6*(1+$C$7)^(9-1),"")</f>
        <v/>
      </c>
      <c r="M31" s="19">
        <f>IF($C$24,$C$6*(1+$C$7)^(10-1),"")</f>
        <v/>
      </c>
    </row>
    <row r="32">
      <c r="B32" s="8" t="inlineStr">
        <is>
          <t>Revenue</t>
        </is>
      </c>
      <c r="D32" s="19">
        <f>IF($C$24,D30*D31*12/10^6,"")</f>
        <v/>
      </c>
      <c r="E32" s="19">
        <f>IF($C$24,E30*E31*12/10^6,"")</f>
        <v/>
      </c>
      <c r="F32" s="19">
        <f>IF($C$24,F30*F31*12/10^6,"")</f>
        <v/>
      </c>
      <c r="G32" s="19">
        <f>IF($C$24,G30*G31*12/10^6,"")</f>
        <v/>
      </c>
      <c r="H32" s="19">
        <f>IF($C$24,H30*H31*12/10^6,"")</f>
        <v/>
      </c>
      <c r="I32" s="19">
        <f>IF($C$24,I30*I31*12/10^6,"")</f>
        <v/>
      </c>
      <c r="J32" s="19">
        <f>IF($C$24,J30*J31*12/10^6,"")</f>
        <v/>
      </c>
      <c r="K32" s="19">
        <f>IF($C$24,K30*K31*12/10^6,"")</f>
        <v/>
      </c>
      <c r="L32" s="19">
        <f>IF($C$24,L30*L31*12/10^6,"")</f>
        <v/>
      </c>
      <c r="M32" s="19">
        <f>IF($C$24,M30*M31*12/10^6,"")</f>
        <v/>
      </c>
    </row>
    <row r="33">
      <c r="B33" s="8" t="inlineStr">
        <is>
          <t>Subscriber costs</t>
        </is>
      </c>
      <c r="D33" s="19">
        <f>IF($C$24,D30*$C$8*(1+$C$10)^(1-1)*12/10^6,"")</f>
        <v/>
      </c>
      <c r="E33" s="19">
        <f>IF($C$24,E30*$C$8*(1+$C$10)^(2-1)*12/10^6,"")</f>
        <v/>
      </c>
      <c r="F33" s="19">
        <f>IF($C$24,F30*$C$8*(1+$C$10)^(3-1)*12/10^6,"")</f>
        <v/>
      </c>
      <c r="G33" s="19">
        <f>IF($C$24,G30*$C$8*(1+$C$10)^(4-1)*12/10^6,"")</f>
        <v/>
      </c>
      <c r="H33" s="19">
        <f>IF($C$24,H30*$C$8*(1+$C$10)^(5-1)*12/10^6,"")</f>
        <v/>
      </c>
      <c r="I33" s="19">
        <f>IF($C$24,I30*$C$8*(1+$C$10)^(6-1)*12/10^6,"")</f>
        <v/>
      </c>
      <c r="J33" s="19">
        <f>IF($C$24,J30*$C$8*(1+$C$10)^(7-1)*12/10^6,"")</f>
        <v/>
      </c>
      <c r="K33" s="19">
        <f>IF($C$24,K30*$C$8*(1+$C$10)^(8-1)*12/10^6,"")</f>
        <v/>
      </c>
      <c r="L33" s="19">
        <f>IF($C$24,L30*$C$8*(1+$C$10)^(9-1)*12/10^6,"")</f>
        <v/>
      </c>
      <c r="M33" s="19">
        <f>IF($C$24,M30*$C$8*(1+$C$10)^(10-1)*12/10^6,"")</f>
        <v/>
      </c>
    </row>
    <row r="34">
      <c r="B34" s="8" t="inlineStr">
        <is>
          <t>Network costs</t>
        </is>
      </c>
      <c r="D34" s="19">
        <f>IF($C$24,$C$5*$C$9*(1+$C$10)^(1-1)*12/10^6,"")</f>
        <v/>
      </c>
      <c r="E34" s="19">
        <f>IF($C$24,$C$5*$C$9*(1+$C$10)^(2-1)*12/10^6,"")</f>
        <v/>
      </c>
      <c r="F34" s="19">
        <f>IF($C$24,$C$5*$C$9*(1+$C$10)^(3-1)*12/10^6,"")</f>
        <v/>
      </c>
      <c r="G34" s="19">
        <f>IF($C$24,$C$5*$C$9*(1+$C$10)^(4-1)*12/10^6,"")</f>
        <v/>
      </c>
      <c r="H34" s="19">
        <f>IF($C$24,$C$5*$C$9*(1+$C$10)^(5-1)*12/10^6,"")</f>
        <v/>
      </c>
      <c r="I34" s="19">
        <f>IF($C$24,$C$5*$C$9*(1+$C$10)^(6-1)*12/10^6,"")</f>
        <v/>
      </c>
      <c r="J34" s="19">
        <f>IF($C$24,$C$5*$C$9*(1+$C$10)^(7-1)*12/10^6,"")</f>
        <v/>
      </c>
      <c r="K34" s="19">
        <f>IF($C$24,$C$5*$C$9*(1+$C$10)^(8-1)*12/10^6,"")</f>
        <v/>
      </c>
      <c r="L34" s="19">
        <f>IF($C$24,$C$5*$C$9*(1+$C$10)^(9-1)*12/10^6,"")</f>
        <v/>
      </c>
      <c r="M34" s="19">
        <f>IF($C$24,$C$5*$C$9*(1+$C$10)^(10-1)*12/10^6,"")</f>
        <v/>
      </c>
    </row>
    <row r="35">
      <c r="B35" s="8" t="inlineStr">
        <is>
          <t>Overhead</t>
        </is>
      </c>
      <c r="D35" s="19">
        <f>IF($C$24,$C$11*(1+$C$12)^(1-1),"")</f>
        <v/>
      </c>
      <c r="E35" s="19">
        <f>IF($C$24,$C$11*(1+$C$12)^(2-1),"")</f>
        <v/>
      </c>
      <c r="F35" s="19">
        <f>IF($C$24,$C$11*(1+$C$12)^(3-1),"")</f>
        <v/>
      </c>
      <c r="G35" s="19">
        <f>IF($C$24,$C$11*(1+$C$12)^(4-1),"")</f>
        <v/>
      </c>
      <c r="H35" s="19">
        <f>IF($C$24,$C$11*(1+$C$12)^(5-1),"")</f>
        <v/>
      </c>
      <c r="I35" s="19">
        <f>IF($C$24,$C$11*(1+$C$12)^(6-1),"")</f>
        <v/>
      </c>
      <c r="J35" s="19">
        <f>IF($C$24,$C$11*(1+$C$12)^(7-1),"")</f>
        <v/>
      </c>
      <c r="K35" s="19">
        <f>IF($C$24,$C$11*(1+$C$12)^(8-1),"")</f>
        <v/>
      </c>
      <c r="L35" s="19">
        <f>IF($C$24,$C$11*(1+$C$12)^(9-1),"")</f>
        <v/>
      </c>
      <c r="M35" s="19">
        <f>IF($C$24,$C$11*(1+$C$12)^(10-1),"")</f>
        <v/>
      </c>
    </row>
    <row r="36">
      <c r="B36" s="21" t="inlineStr">
        <is>
          <t>EBITDA</t>
        </is>
      </c>
      <c r="D36" s="22">
        <f>IF($C$24,D32-D33-D34-D35,"")</f>
        <v/>
      </c>
      <c r="E36" s="22">
        <f>IF($C$24,E32-E33-E34-E35,"")</f>
        <v/>
      </c>
      <c r="F36" s="22">
        <f>IF($C$24,F32-F33-F34-F35,"")</f>
        <v/>
      </c>
      <c r="G36" s="22">
        <f>IF($C$24,G32-G33-G34-G35,"")</f>
        <v/>
      </c>
      <c r="H36" s="22">
        <f>IF($C$24,H32-H33-H34-H35,"")</f>
        <v/>
      </c>
      <c r="I36" s="22">
        <f>IF($C$24,I32-I33-I34-I35,"")</f>
        <v/>
      </c>
      <c r="J36" s="22">
        <f>IF($C$24,J32-J33-J34-J35,"")</f>
        <v/>
      </c>
      <c r="K36" s="22">
        <f>IF($C$24,K32-K33-K34-K35,"")</f>
        <v/>
      </c>
      <c r="L36" s="22">
        <f>IF($C$24,L32-L33-L34-L35,"")</f>
        <v/>
      </c>
      <c r="M36" s="22">
        <f>IF($C$24,M32-M33-M34-M35,"")</f>
        <v/>
      </c>
    </row>
    <row r="37">
      <c r="B37" s="8" t="inlineStr">
        <is>
          <t>Subscribers lost to churn</t>
        </is>
      </c>
      <c r="D37" s="20">
        <f>IF($C$24,D30*$C$13*12,"")</f>
        <v/>
      </c>
      <c r="E37" s="20">
        <f>IF($C$24,E30*$C$13*12,"")</f>
        <v/>
      </c>
      <c r="F37" s="20">
        <f>IF($C$24,F30*$C$13*12,"")</f>
        <v/>
      </c>
      <c r="G37" s="20">
        <f>IF($C$24,G30*$C$13*12,"")</f>
        <v/>
      </c>
      <c r="H37" s="20">
        <f>IF($C$24,H30*$C$13*12,"")</f>
        <v/>
      </c>
      <c r="I37" s="20">
        <f>IF($C$24,I30*$C$13*12,"")</f>
        <v/>
      </c>
      <c r="J37" s="20">
        <f>IF($C$24,J30*$C$13*12,"")</f>
        <v/>
      </c>
      <c r="K37" s="20">
        <f>IF($C$24,K30*$C$13*12,"")</f>
        <v/>
      </c>
      <c r="L37" s="20">
        <f>IF($C$24,L30*$C$13*12,"")</f>
        <v/>
      </c>
      <c r="M37" s="20">
        <f>IF($C$24,M30*$C$13*12,"")</f>
        <v/>
      </c>
    </row>
    <row r="38">
      <c r="B38" s="8" t="inlineStr">
        <is>
          <t>Connection capex</t>
        </is>
      </c>
      <c r="D38" s="19">
        <f>IF($C$24,(MAX(D29-C29,0)*$C$14+D37*$C$15)*(1+$C$17)^(1-1)/10^6,"")</f>
        <v/>
      </c>
      <c r="E38" s="19">
        <f>IF($C$24,(MAX(E29-D29,0)*$C$14+E37*$C$15)*(1+$C$17)^(2-1)/10^6,"")</f>
        <v/>
      </c>
      <c r="F38" s="19">
        <f>IF($C$24,(MAX(F29-E29,0)*$C$14+F37*$C$15)*(1+$C$17)^(3-1)/10^6,"")</f>
        <v/>
      </c>
      <c r="G38" s="19">
        <f>IF($C$24,(MAX(G29-F29,0)*$C$14+G37*$C$15)*(1+$C$17)^(4-1)/10^6,"")</f>
        <v/>
      </c>
      <c r="H38" s="19">
        <f>IF($C$24,(MAX(H29-G29,0)*$C$14+H37*$C$15)*(1+$C$17)^(5-1)/10^6,"")</f>
        <v/>
      </c>
      <c r="I38" s="19">
        <f>IF($C$24,(MAX(I29-H29,0)*$C$14+I37*$C$15)*(1+$C$17)^(6-1)/10^6,"")</f>
        <v/>
      </c>
      <c r="J38" s="19">
        <f>IF($C$24,(MAX(J29-I29,0)*$C$14+J37*$C$15)*(1+$C$17)^(7-1)/10^6,"")</f>
        <v/>
      </c>
      <c r="K38" s="19">
        <f>IF($C$24,(MAX(K29-J29,0)*$C$14+K37*$C$15)*(1+$C$17)^(8-1)/10^6,"")</f>
        <v/>
      </c>
      <c r="L38" s="19">
        <f>IF($C$24,(MAX(L29-K29,0)*$C$14+L37*$C$15)*(1+$C$17)^(9-1)/10^6,"")</f>
        <v/>
      </c>
      <c r="M38" s="19">
        <f>IF($C$24,(MAX(M29-L29,0)*$C$14+M37*$C$15)*(1+$C$17)^(10-1)/10^6,"")</f>
        <v/>
      </c>
    </row>
    <row r="39">
      <c r="B39" s="8" t="inlineStr">
        <is>
          <t>Maintenance capex</t>
        </is>
      </c>
      <c r="D39" s="19">
        <f>IF($C$24,$C$5*$C$16*(1+$C$17)^(1-1)/10^6,"")</f>
        <v/>
      </c>
      <c r="E39" s="19">
        <f>IF($C$24,$C$5*$C$16*(1+$C$17)^(2-1)/10^6,"")</f>
        <v/>
      </c>
      <c r="F39" s="19">
        <f>IF($C$24,$C$5*$C$16*(1+$C$17)^(3-1)/10^6,"")</f>
        <v/>
      </c>
      <c r="G39" s="19">
        <f>IF($C$24,$C$5*$C$16*(1+$C$17)^(4-1)/10^6,"")</f>
        <v/>
      </c>
      <c r="H39" s="19">
        <f>IF($C$24,$C$5*$C$16*(1+$C$17)^(5-1)/10^6,"")</f>
        <v/>
      </c>
      <c r="I39" s="19">
        <f>IF($C$24,$C$5*$C$16*(1+$C$17)^(6-1)/10^6,"")</f>
        <v/>
      </c>
      <c r="J39" s="19">
        <f>IF($C$24,$C$5*$C$16*(1+$C$17)^(7-1)/10^6,"")</f>
        <v/>
      </c>
      <c r="K39" s="19">
        <f>IF($C$24,$C$5*$C$16*(1+$C$17)^(8-1)/10^6,"")</f>
        <v/>
      </c>
      <c r="L39" s="19">
        <f>IF($C$24,$C$5*$C$16*(1+$C$17)^(9-1)/10^6,"")</f>
        <v/>
      </c>
      <c r="M39" s="19">
        <f>IF($C$24,$C$5*$C$16*(1+$C$17)^(10-1)/10^6,"")</f>
        <v/>
      </c>
    </row>
    <row r="40">
      <c r="B40" s="21" t="inlineStr">
        <is>
          <t>Cash flow (no debt; year 10 includes the exit)</t>
        </is>
      </c>
      <c r="C40" s="22">
        <f>IF($C$24,-$C$19*(1+$C$20),"")</f>
        <v/>
      </c>
      <c r="D40" s="22">
        <f>IF($C$24,D36-D38-D39,"")</f>
        <v/>
      </c>
      <c r="E40" s="22">
        <f>IF($C$24,E36-E38-E39,"")</f>
        <v/>
      </c>
      <c r="F40" s="22">
        <f>IF($C$24,F36-F38-F39,"")</f>
        <v/>
      </c>
      <c r="G40" s="22">
        <f>IF($C$24,G36-G38-G39,"")</f>
        <v/>
      </c>
      <c r="H40" s="22">
        <f>IF($C$24,H36-H38-H39,"")</f>
        <v/>
      </c>
      <c r="I40" s="22">
        <f>IF($C$24,I36-I38-I39,"")</f>
        <v/>
      </c>
      <c r="J40" s="22">
        <f>IF($C$24,J36-J38-J39,"")</f>
        <v/>
      </c>
      <c r="K40" s="22">
        <f>IF($C$24,K36-K38-K39,"")</f>
        <v/>
      </c>
      <c r="L40" s="22">
        <f>IF($C$24,L36-L38-L39,"")</f>
        <v/>
      </c>
      <c r="M40" s="22">
        <f>IF($C$24,M36-M38-M39+M36*$C$21*(1-$C$22),"")</f>
        <v/>
      </c>
    </row>
    <row r="42">
      <c r="B42" s="15" t="inlineStr">
        <is>
          <t>IRR</t>
        </is>
      </c>
      <c r="C42" s="24">
        <f>IF($C$24,IRR(C40:M40),"")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M4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6" customHeight="1"/>
    <row r="2">
      <c r="B2" s="4" t="inlineStr">
        <is>
          <t>Towers: tenancies, ground and exit, ten years</t>
        </is>
      </c>
    </row>
    <row r="3">
      <c r="B3" s="7" t="inlineStr">
        <is>
          <t>Fill every yellow cell. Formulas stay blank until all are filled.</t>
        </is>
      </c>
    </row>
    <row r="5">
      <c r="B5" s="8" t="inlineStr">
        <is>
          <t>Towers</t>
        </is>
      </c>
      <c r="C5" s="25" t="n"/>
    </row>
    <row r="6">
      <c r="B6" s="8" t="inlineStr">
        <is>
          <t>Colocation tenancies at purchase</t>
        </is>
      </c>
      <c r="C6" s="25" t="n"/>
    </row>
    <row r="7">
      <c r="B7" s="8" t="inlineStr">
        <is>
          <t>New tenancies per tower a year</t>
        </is>
      </c>
      <c r="C7" s="29" t="n"/>
    </row>
    <row r="8">
      <c r="B8" s="8" t="inlineStr">
        <is>
          <t>Colocation churn (a year)</t>
        </is>
      </c>
      <c r="C8" s="11" t="n"/>
    </row>
    <row r="9">
      <c r="B9" s="8" t="inlineStr">
        <is>
          <t>Anchor rent, year 1 ($ per tower per month)</t>
        </is>
      </c>
      <c r="C9" s="26" t="n"/>
    </row>
    <row r="10">
      <c r="B10" s="8" t="inlineStr">
        <is>
          <t>Anchor escalator (a year)</t>
        </is>
      </c>
      <c r="C10" s="11" t="n"/>
    </row>
    <row r="11">
      <c r="B11" s="8" t="inlineStr">
        <is>
          <t>Colocation rent, year 1 ($ per tenancy per month)</t>
        </is>
      </c>
      <c r="C11" s="26" t="n"/>
    </row>
    <row r="12">
      <c r="B12" s="8" t="inlineStr">
        <is>
          <t>Colocation escalator (a year)</t>
        </is>
      </c>
      <c r="C12" s="11" t="n"/>
    </row>
    <row r="13">
      <c r="B13" s="8" t="inlineStr">
        <is>
          <t>Sites on leased ground at purchase</t>
        </is>
      </c>
      <c r="C13" s="25" t="n"/>
    </row>
    <row r="14">
      <c r="B14" s="8" t="inlineStr">
        <is>
          <t>Ground buyouts a year</t>
        </is>
      </c>
      <c r="C14" s="25" t="n"/>
    </row>
    <row r="15">
      <c r="B15" s="8" t="inlineStr">
        <is>
          <t>Buyout price (years of ground rent)</t>
        </is>
      </c>
      <c r="C15" s="9" t="n"/>
    </row>
    <row r="16">
      <c r="B16" s="8" t="inlineStr">
        <is>
          <t>Ground rent, year 1 ($ per site per month)</t>
        </is>
      </c>
      <c r="C16" s="26" t="n"/>
    </row>
    <row r="17">
      <c r="B17" s="8" t="inlineStr">
        <is>
          <t>Ground rent escalator (a year)</t>
        </is>
      </c>
      <c r="C17" s="11" t="n"/>
    </row>
    <row r="18">
      <c r="B18" s="8" t="inlineStr">
        <is>
          <t>Site costs, year 1 ($ per tower per month)</t>
        </is>
      </c>
      <c r="C18" s="26" t="n"/>
    </row>
    <row r="19">
      <c r="B19" s="8" t="inlineStr">
        <is>
          <t>Site cost escalator (a year)</t>
        </is>
      </c>
      <c r="C19" s="11" t="n"/>
    </row>
    <row r="20">
      <c r="B20" s="8" t="inlineStr">
        <is>
          <t>Overhead, year 1 ($ million)</t>
        </is>
      </c>
      <c r="C20" s="10" t="n"/>
    </row>
    <row r="21">
      <c r="B21" s="8" t="inlineStr">
        <is>
          <t>Overhead escalator (a year)</t>
        </is>
      </c>
      <c r="C21" s="11" t="n"/>
    </row>
    <row r="22">
      <c r="B22" s="8" t="inlineStr">
        <is>
          <t>Maintenance capex per tower, year 1 ($)</t>
        </is>
      </c>
      <c r="C22" s="26" t="n"/>
    </row>
    <row r="23">
      <c r="B23" s="8" t="inlineStr">
        <is>
          <t>Capex per new tenancy, year 1 ($)</t>
        </is>
      </c>
      <c r="C23" s="26" t="n"/>
    </row>
    <row r="24">
      <c r="B24" s="8" t="inlineStr">
        <is>
          <t>Capex escalator (a year)</t>
        </is>
      </c>
      <c r="C24" s="11" t="n"/>
    </row>
    <row r="25">
      <c r="B25" s="8" t="inlineStr">
        <is>
          <t>Price ($ million)</t>
        </is>
      </c>
      <c r="C25" s="10" t="n"/>
    </row>
    <row r="26">
      <c r="B26" s="8" t="inlineStr">
        <is>
          <t>Transaction costs (share of price)</t>
        </is>
      </c>
      <c r="C26" s="11" t="n"/>
    </row>
    <row r="27">
      <c r="B27" s="8" t="inlineStr">
        <is>
          <t>Exit multiple of year-10 EBITDA</t>
        </is>
      </c>
      <c r="C27" s="27" t="n"/>
    </row>
    <row r="28">
      <c r="B28" s="8" t="inlineStr">
        <is>
          <t>Exit costs (share of exit value)</t>
        </is>
      </c>
      <c r="C28" s="11" t="n"/>
    </row>
    <row r="30">
      <c r="B30" s="15" t="inlineStr">
        <is>
          <t>All inputs filled</t>
        </is>
      </c>
      <c r="C30" s="16">
        <f>COUNTBLANK(C5:C28)=0</f>
        <v/>
      </c>
    </row>
    <row r="32">
      <c r="B32" s="7" t="inlineStr">
        <is>
          <t>Amounts in $ million unless stated.</t>
        </is>
      </c>
    </row>
    <row r="33">
      <c r="B33" s="17" t="inlineStr">
        <is>
          <t>Year</t>
        </is>
      </c>
      <c r="C33" s="18" t="n">
        <v>0</v>
      </c>
      <c r="D33" s="18" t="n">
        <v>1</v>
      </c>
      <c r="E33" s="18" t="n">
        <v>2</v>
      </c>
      <c r="F33" s="18" t="n">
        <v>3</v>
      </c>
      <c r="G33" s="18" t="n">
        <v>4</v>
      </c>
      <c r="H33" s="18" t="n">
        <v>5</v>
      </c>
      <c r="I33" s="18" t="n">
        <v>6</v>
      </c>
      <c r="J33" s="18" t="n">
        <v>7</v>
      </c>
      <c r="K33" s="18" t="n">
        <v>8</v>
      </c>
      <c r="L33" s="18" t="n">
        <v>9</v>
      </c>
      <c r="M33" s="18" t="n">
        <v>10</v>
      </c>
    </row>
    <row r="34">
      <c r="B34" s="8" t="inlineStr">
        <is>
          <t>Colocation tenancies (end of year)</t>
        </is>
      </c>
      <c r="C34" s="30">
        <f>IF($C$30,$C$6,"")</f>
        <v/>
      </c>
      <c r="D34" s="30">
        <f>IF($C$30,C34*(1-$C$8)+$C$5*$C$7,"")</f>
        <v/>
      </c>
      <c r="E34" s="30">
        <f>IF($C$30,D34*(1-$C$8)+$C$5*$C$7,"")</f>
        <v/>
      </c>
      <c r="F34" s="30">
        <f>IF($C$30,E34*(1-$C$8)+$C$5*$C$7,"")</f>
        <v/>
      </c>
      <c r="G34" s="30">
        <f>IF($C$30,F34*(1-$C$8)+$C$5*$C$7,"")</f>
        <v/>
      </c>
      <c r="H34" s="30">
        <f>IF($C$30,G34*(1-$C$8)+$C$5*$C$7,"")</f>
        <v/>
      </c>
      <c r="I34" s="30">
        <f>IF($C$30,H34*(1-$C$8)+$C$5*$C$7,"")</f>
        <v/>
      </c>
      <c r="J34" s="30">
        <f>IF($C$30,I34*(1-$C$8)+$C$5*$C$7,"")</f>
        <v/>
      </c>
      <c r="K34" s="30">
        <f>IF($C$30,J34*(1-$C$8)+$C$5*$C$7,"")</f>
        <v/>
      </c>
      <c r="L34" s="30">
        <f>IF($C$30,K34*(1-$C$8)+$C$5*$C$7,"")</f>
        <v/>
      </c>
      <c r="M34" s="30">
        <f>IF($C$30,L34*(1-$C$8)+$C$5*$C$7,"")</f>
        <v/>
      </c>
    </row>
    <row r="35">
      <c r="B35" s="8" t="inlineStr">
        <is>
          <t>Tenancy ratio</t>
        </is>
      </c>
      <c r="C35" s="31">
        <f>IF($C$30,($C$5+C34)/$C$5,"")</f>
        <v/>
      </c>
      <c r="D35" s="31">
        <f>IF($C$30,($C$5+D34)/$C$5,"")</f>
        <v/>
      </c>
      <c r="E35" s="31">
        <f>IF($C$30,($C$5+E34)/$C$5,"")</f>
        <v/>
      </c>
      <c r="F35" s="31">
        <f>IF($C$30,($C$5+F34)/$C$5,"")</f>
        <v/>
      </c>
      <c r="G35" s="31">
        <f>IF($C$30,($C$5+G34)/$C$5,"")</f>
        <v/>
      </c>
      <c r="H35" s="31">
        <f>IF($C$30,($C$5+H34)/$C$5,"")</f>
        <v/>
      </c>
      <c r="I35" s="31">
        <f>IF($C$30,($C$5+I34)/$C$5,"")</f>
        <v/>
      </c>
      <c r="J35" s="31">
        <f>IF($C$30,($C$5+J34)/$C$5,"")</f>
        <v/>
      </c>
      <c r="K35" s="31">
        <f>IF($C$30,($C$5+K34)/$C$5,"")</f>
        <v/>
      </c>
      <c r="L35" s="31">
        <f>IF($C$30,($C$5+L34)/$C$5,"")</f>
        <v/>
      </c>
      <c r="M35" s="31">
        <f>IF($C$30,($C$5+M34)/$C$5,"")</f>
        <v/>
      </c>
    </row>
    <row r="36">
      <c r="B36" s="8" t="inlineStr">
        <is>
          <t>Sites on leased ground (end of year)</t>
        </is>
      </c>
      <c r="C36" s="20">
        <f>IF($C$30,$C$13,"")</f>
        <v/>
      </c>
      <c r="D36" s="20">
        <f>IF($C$30,MAX(0,C36-$C$14),"")</f>
        <v/>
      </c>
      <c r="E36" s="20">
        <f>IF($C$30,MAX(0,D36-$C$14),"")</f>
        <v/>
      </c>
      <c r="F36" s="20">
        <f>IF($C$30,MAX(0,E36-$C$14),"")</f>
        <v/>
      </c>
      <c r="G36" s="20">
        <f>IF($C$30,MAX(0,F36-$C$14),"")</f>
        <v/>
      </c>
      <c r="H36" s="20">
        <f>IF($C$30,MAX(0,G36-$C$14),"")</f>
        <v/>
      </c>
      <c r="I36" s="20">
        <f>IF($C$30,MAX(0,H36-$C$14),"")</f>
        <v/>
      </c>
      <c r="J36" s="20">
        <f>IF($C$30,MAX(0,I36-$C$14),"")</f>
        <v/>
      </c>
      <c r="K36" s="20">
        <f>IF($C$30,MAX(0,J36-$C$14),"")</f>
        <v/>
      </c>
      <c r="L36" s="20">
        <f>IF($C$30,MAX(0,K36-$C$14),"")</f>
        <v/>
      </c>
      <c r="M36" s="20">
        <f>IF($C$30,MAX(0,L36-$C$14),"")</f>
        <v/>
      </c>
    </row>
    <row r="37">
      <c r="B37" s="8" t="inlineStr">
        <is>
          <t>Anchor rent</t>
        </is>
      </c>
      <c r="D37" s="19">
        <f>IF($C$30,$C$5*$C$9*12*(1+$C$10)^(1-1)/10^6,"")</f>
        <v/>
      </c>
      <c r="E37" s="19">
        <f>IF($C$30,$C$5*$C$9*12*(1+$C$10)^(2-1)/10^6,"")</f>
        <v/>
      </c>
      <c r="F37" s="19">
        <f>IF($C$30,$C$5*$C$9*12*(1+$C$10)^(3-1)/10^6,"")</f>
        <v/>
      </c>
      <c r="G37" s="19">
        <f>IF($C$30,$C$5*$C$9*12*(1+$C$10)^(4-1)/10^6,"")</f>
        <v/>
      </c>
      <c r="H37" s="19">
        <f>IF($C$30,$C$5*$C$9*12*(1+$C$10)^(5-1)/10^6,"")</f>
        <v/>
      </c>
      <c r="I37" s="19">
        <f>IF($C$30,$C$5*$C$9*12*(1+$C$10)^(6-1)/10^6,"")</f>
        <v/>
      </c>
      <c r="J37" s="19">
        <f>IF($C$30,$C$5*$C$9*12*(1+$C$10)^(7-1)/10^6,"")</f>
        <v/>
      </c>
      <c r="K37" s="19">
        <f>IF($C$30,$C$5*$C$9*12*(1+$C$10)^(8-1)/10^6,"")</f>
        <v/>
      </c>
      <c r="L37" s="19">
        <f>IF($C$30,$C$5*$C$9*12*(1+$C$10)^(9-1)/10^6,"")</f>
        <v/>
      </c>
      <c r="M37" s="19">
        <f>IF($C$30,$C$5*$C$9*12*(1+$C$10)^(10-1)/10^6,"")</f>
        <v/>
      </c>
    </row>
    <row r="38">
      <c r="B38" s="8" t="inlineStr">
        <is>
          <t>Colocation rent</t>
        </is>
      </c>
      <c r="D38" s="19">
        <f>IF($C$30,(D34+C34)/2*$C$11*12*(1+$C$12)^(1-1)/10^6,"")</f>
        <v/>
      </c>
      <c r="E38" s="19">
        <f>IF($C$30,(E34+D34)/2*$C$11*12*(1+$C$12)^(2-1)/10^6,"")</f>
        <v/>
      </c>
      <c r="F38" s="19">
        <f>IF($C$30,(F34+E34)/2*$C$11*12*(1+$C$12)^(3-1)/10^6,"")</f>
        <v/>
      </c>
      <c r="G38" s="19">
        <f>IF($C$30,(G34+F34)/2*$C$11*12*(1+$C$12)^(4-1)/10^6,"")</f>
        <v/>
      </c>
      <c r="H38" s="19">
        <f>IF($C$30,(H34+G34)/2*$C$11*12*(1+$C$12)^(5-1)/10^6,"")</f>
        <v/>
      </c>
      <c r="I38" s="19">
        <f>IF($C$30,(I34+H34)/2*$C$11*12*(1+$C$12)^(6-1)/10^6,"")</f>
        <v/>
      </c>
      <c r="J38" s="19">
        <f>IF($C$30,(J34+I34)/2*$C$11*12*(1+$C$12)^(7-1)/10^6,"")</f>
        <v/>
      </c>
      <c r="K38" s="19">
        <f>IF($C$30,(K34+J34)/2*$C$11*12*(1+$C$12)^(8-1)/10^6,"")</f>
        <v/>
      </c>
      <c r="L38" s="19">
        <f>IF($C$30,(L34+K34)/2*$C$11*12*(1+$C$12)^(9-1)/10^6,"")</f>
        <v/>
      </c>
      <c r="M38" s="19">
        <f>IF($C$30,(M34+L34)/2*$C$11*12*(1+$C$12)^(10-1)/10^6,"")</f>
        <v/>
      </c>
    </row>
    <row r="39">
      <c r="B39" s="8" t="inlineStr">
        <is>
          <t>Ground rent</t>
        </is>
      </c>
      <c r="D39" s="19">
        <f>IF($C$30,(D36+C36)/2*$C$16*12*(1+$C$17)^(1-1)/10^6,"")</f>
        <v/>
      </c>
      <c r="E39" s="19">
        <f>IF($C$30,(E36+D36)/2*$C$16*12*(1+$C$17)^(2-1)/10^6,"")</f>
        <v/>
      </c>
      <c r="F39" s="19">
        <f>IF($C$30,(F36+E36)/2*$C$16*12*(1+$C$17)^(3-1)/10^6,"")</f>
        <v/>
      </c>
      <c r="G39" s="19">
        <f>IF($C$30,(G36+F36)/2*$C$16*12*(1+$C$17)^(4-1)/10^6,"")</f>
        <v/>
      </c>
      <c r="H39" s="19">
        <f>IF($C$30,(H36+G36)/2*$C$16*12*(1+$C$17)^(5-1)/10^6,"")</f>
        <v/>
      </c>
      <c r="I39" s="19">
        <f>IF($C$30,(I36+H36)/2*$C$16*12*(1+$C$17)^(6-1)/10^6,"")</f>
        <v/>
      </c>
      <c r="J39" s="19">
        <f>IF($C$30,(J36+I36)/2*$C$16*12*(1+$C$17)^(7-1)/10^6,"")</f>
        <v/>
      </c>
      <c r="K39" s="19">
        <f>IF($C$30,(K36+J36)/2*$C$16*12*(1+$C$17)^(8-1)/10^6,"")</f>
        <v/>
      </c>
      <c r="L39" s="19">
        <f>IF($C$30,(L36+K36)/2*$C$16*12*(1+$C$17)^(9-1)/10^6,"")</f>
        <v/>
      </c>
      <c r="M39" s="19">
        <f>IF($C$30,(M36+L36)/2*$C$16*12*(1+$C$17)^(10-1)/10^6,"")</f>
        <v/>
      </c>
    </row>
    <row r="40">
      <c r="B40" s="8" t="inlineStr">
        <is>
          <t>Site costs</t>
        </is>
      </c>
      <c r="D40" s="19">
        <f>IF($C$30,$C$5*$C$18*12*(1+$C$19)^(1-1)/10^6,"")</f>
        <v/>
      </c>
      <c r="E40" s="19">
        <f>IF($C$30,$C$5*$C$18*12*(1+$C$19)^(2-1)/10^6,"")</f>
        <v/>
      </c>
      <c r="F40" s="19">
        <f>IF($C$30,$C$5*$C$18*12*(1+$C$19)^(3-1)/10^6,"")</f>
        <v/>
      </c>
      <c r="G40" s="19">
        <f>IF($C$30,$C$5*$C$18*12*(1+$C$19)^(4-1)/10^6,"")</f>
        <v/>
      </c>
      <c r="H40" s="19">
        <f>IF($C$30,$C$5*$C$18*12*(1+$C$19)^(5-1)/10^6,"")</f>
        <v/>
      </c>
      <c r="I40" s="19">
        <f>IF($C$30,$C$5*$C$18*12*(1+$C$19)^(6-1)/10^6,"")</f>
        <v/>
      </c>
      <c r="J40" s="19">
        <f>IF($C$30,$C$5*$C$18*12*(1+$C$19)^(7-1)/10^6,"")</f>
        <v/>
      </c>
      <c r="K40" s="19">
        <f>IF($C$30,$C$5*$C$18*12*(1+$C$19)^(8-1)/10^6,"")</f>
        <v/>
      </c>
      <c r="L40" s="19">
        <f>IF($C$30,$C$5*$C$18*12*(1+$C$19)^(9-1)/10^6,"")</f>
        <v/>
      </c>
      <c r="M40" s="19">
        <f>IF($C$30,$C$5*$C$18*12*(1+$C$19)^(10-1)/10^6,"")</f>
        <v/>
      </c>
    </row>
    <row r="41">
      <c r="B41" s="8" t="inlineStr">
        <is>
          <t>Overhead</t>
        </is>
      </c>
      <c r="D41" s="19">
        <f>IF($C$30,$C$20*(1+$C$21)^(1-1),"")</f>
        <v/>
      </c>
      <c r="E41" s="19">
        <f>IF($C$30,$C$20*(1+$C$21)^(2-1),"")</f>
        <v/>
      </c>
      <c r="F41" s="19">
        <f>IF($C$30,$C$20*(1+$C$21)^(3-1),"")</f>
        <v/>
      </c>
      <c r="G41" s="19">
        <f>IF($C$30,$C$20*(1+$C$21)^(4-1),"")</f>
        <v/>
      </c>
      <c r="H41" s="19">
        <f>IF($C$30,$C$20*(1+$C$21)^(5-1),"")</f>
        <v/>
      </c>
      <c r="I41" s="19">
        <f>IF($C$30,$C$20*(1+$C$21)^(6-1),"")</f>
        <v/>
      </c>
      <c r="J41" s="19">
        <f>IF($C$30,$C$20*(1+$C$21)^(7-1),"")</f>
        <v/>
      </c>
      <c r="K41" s="19">
        <f>IF($C$30,$C$20*(1+$C$21)^(8-1),"")</f>
        <v/>
      </c>
      <c r="L41" s="19">
        <f>IF($C$30,$C$20*(1+$C$21)^(9-1),"")</f>
        <v/>
      </c>
      <c r="M41" s="19">
        <f>IF($C$30,$C$20*(1+$C$21)^(10-1),"")</f>
        <v/>
      </c>
    </row>
    <row r="42">
      <c r="B42" s="21" t="inlineStr">
        <is>
          <t>EBITDA</t>
        </is>
      </c>
      <c r="D42" s="22">
        <f>IF($C$30,D37+D38-D39-D40-D41,"")</f>
        <v/>
      </c>
      <c r="E42" s="22">
        <f>IF($C$30,E37+E38-E39-E40-E41,"")</f>
        <v/>
      </c>
      <c r="F42" s="22">
        <f>IF($C$30,F37+F38-F39-F40-F41,"")</f>
        <v/>
      </c>
      <c r="G42" s="22">
        <f>IF($C$30,G37+G38-G39-G40-G41,"")</f>
        <v/>
      </c>
      <c r="H42" s="22">
        <f>IF($C$30,H37+H38-H39-H40-H41,"")</f>
        <v/>
      </c>
      <c r="I42" s="22">
        <f>IF($C$30,I37+I38-I39-I40-I41,"")</f>
        <v/>
      </c>
      <c r="J42" s="22">
        <f>IF($C$30,J37+J38-J39-J40-J41,"")</f>
        <v/>
      </c>
      <c r="K42" s="22">
        <f>IF($C$30,K37+K38-K39-K40-K41,"")</f>
        <v/>
      </c>
      <c r="L42" s="22">
        <f>IF($C$30,L37+L38-L39-L40-L41,"")</f>
        <v/>
      </c>
      <c r="M42" s="22">
        <f>IF($C$30,M37+M38-M39-M40-M41,"")</f>
        <v/>
      </c>
    </row>
    <row r="43">
      <c r="B43" s="8" t="inlineStr">
        <is>
          <t>Maintenance capex</t>
        </is>
      </c>
      <c r="D43" s="19">
        <f>IF($C$30,$C$5*$C$22*(1+$C$24)^(1-1)/10^6,"")</f>
        <v/>
      </c>
      <c r="E43" s="19">
        <f>IF($C$30,$C$5*$C$22*(1+$C$24)^(2-1)/10^6,"")</f>
        <v/>
      </c>
      <c r="F43" s="19">
        <f>IF($C$30,$C$5*$C$22*(1+$C$24)^(3-1)/10^6,"")</f>
        <v/>
      </c>
      <c r="G43" s="19">
        <f>IF($C$30,$C$5*$C$22*(1+$C$24)^(4-1)/10^6,"")</f>
        <v/>
      </c>
      <c r="H43" s="19">
        <f>IF($C$30,$C$5*$C$22*(1+$C$24)^(5-1)/10^6,"")</f>
        <v/>
      </c>
      <c r="I43" s="19">
        <f>IF($C$30,$C$5*$C$22*(1+$C$24)^(6-1)/10^6,"")</f>
        <v/>
      </c>
      <c r="J43" s="19">
        <f>IF($C$30,$C$5*$C$22*(1+$C$24)^(7-1)/10^6,"")</f>
        <v/>
      </c>
      <c r="K43" s="19">
        <f>IF($C$30,$C$5*$C$22*(1+$C$24)^(8-1)/10^6,"")</f>
        <v/>
      </c>
      <c r="L43" s="19">
        <f>IF($C$30,$C$5*$C$22*(1+$C$24)^(9-1)/10^6,"")</f>
        <v/>
      </c>
      <c r="M43" s="19">
        <f>IF($C$30,$C$5*$C$22*(1+$C$24)^(10-1)/10^6,"")</f>
        <v/>
      </c>
    </row>
    <row r="44">
      <c r="B44" s="8" t="inlineStr">
        <is>
          <t>Capex for new tenancies</t>
        </is>
      </c>
      <c r="D44" s="19">
        <f>IF($C$30,$C$5*$C$7*$C$23*(1+$C$24)^(1-1)/10^6,"")</f>
        <v/>
      </c>
      <c r="E44" s="19">
        <f>IF($C$30,$C$5*$C$7*$C$23*(1+$C$24)^(2-1)/10^6,"")</f>
        <v/>
      </c>
      <c r="F44" s="19">
        <f>IF($C$30,$C$5*$C$7*$C$23*(1+$C$24)^(3-1)/10^6,"")</f>
        <v/>
      </c>
      <c r="G44" s="19">
        <f>IF($C$30,$C$5*$C$7*$C$23*(1+$C$24)^(4-1)/10^6,"")</f>
        <v/>
      </c>
      <c r="H44" s="19">
        <f>IF($C$30,$C$5*$C$7*$C$23*(1+$C$24)^(5-1)/10^6,"")</f>
        <v/>
      </c>
      <c r="I44" s="19">
        <f>IF($C$30,$C$5*$C$7*$C$23*(1+$C$24)^(6-1)/10^6,"")</f>
        <v/>
      </c>
      <c r="J44" s="19">
        <f>IF($C$30,$C$5*$C$7*$C$23*(1+$C$24)^(7-1)/10^6,"")</f>
        <v/>
      </c>
      <c r="K44" s="19">
        <f>IF($C$30,$C$5*$C$7*$C$23*(1+$C$24)^(8-1)/10^6,"")</f>
        <v/>
      </c>
      <c r="L44" s="19">
        <f>IF($C$30,$C$5*$C$7*$C$23*(1+$C$24)^(9-1)/10^6,"")</f>
        <v/>
      </c>
      <c r="M44" s="19">
        <f>IF($C$30,$C$5*$C$7*$C$23*(1+$C$24)^(10-1)/10^6,"")</f>
        <v/>
      </c>
    </row>
    <row r="45">
      <c r="B45" s="8" t="inlineStr">
        <is>
          <t>Ground buyouts</t>
        </is>
      </c>
      <c r="D45" s="19">
        <f>IF($C$30,(C36-D36)*$C$16*12*(1+$C$17)^(1-1)*$C$15/10^6,"")</f>
        <v/>
      </c>
      <c r="E45" s="19">
        <f>IF($C$30,(D36-E36)*$C$16*12*(1+$C$17)^(2-1)*$C$15/10^6,"")</f>
        <v/>
      </c>
      <c r="F45" s="19">
        <f>IF($C$30,(E36-F36)*$C$16*12*(1+$C$17)^(3-1)*$C$15/10^6,"")</f>
        <v/>
      </c>
      <c r="G45" s="19">
        <f>IF($C$30,(F36-G36)*$C$16*12*(1+$C$17)^(4-1)*$C$15/10^6,"")</f>
        <v/>
      </c>
      <c r="H45" s="19">
        <f>IF($C$30,(G36-H36)*$C$16*12*(1+$C$17)^(5-1)*$C$15/10^6,"")</f>
        <v/>
      </c>
      <c r="I45" s="19">
        <f>IF($C$30,(H36-I36)*$C$16*12*(1+$C$17)^(6-1)*$C$15/10^6,"")</f>
        <v/>
      </c>
      <c r="J45" s="19">
        <f>IF($C$30,(I36-J36)*$C$16*12*(1+$C$17)^(7-1)*$C$15/10^6,"")</f>
        <v/>
      </c>
      <c r="K45" s="19">
        <f>IF($C$30,(J36-K36)*$C$16*12*(1+$C$17)^(8-1)*$C$15/10^6,"")</f>
        <v/>
      </c>
      <c r="L45" s="19">
        <f>IF($C$30,(K36-L36)*$C$16*12*(1+$C$17)^(9-1)*$C$15/10^6,"")</f>
        <v/>
      </c>
      <c r="M45" s="19">
        <f>IF($C$30,(L36-M36)*$C$16*12*(1+$C$17)^(10-1)*$C$15/10^6,"")</f>
        <v/>
      </c>
    </row>
    <row r="46">
      <c r="B46" s="21" t="inlineStr">
        <is>
          <t>Unlevered cash flow (year 10 includes the exit)</t>
        </is>
      </c>
      <c r="C46" s="22">
        <f>IF($C$30,-$C$25*(1+$C$26),"")</f>
        <v/>
      </c>
      <c r="D46" s="22">
        <f>IF($C$30,D42-D43-D44-D45,"")</f>
        <v/>
      </c>
      <c r="E46" s="22">
        <f>IF($C$30,E42-E43-E44-E45,"")</f>
        <v/>
      </c>
      <c r="F46" s="22">
        <f>IF($C$30,F42-F43-F44-F45,"")</f>
        <v/>
      </c>
      <c r="G46" s="22">
        <f>IF($C$30,G42-G43-G44-G45,"")</f>
        <v/>
      </c>
      <c r="H46" s="22">
        <f>IF($C$30,H42-H43-H44-H45,"")</f>
        <v/>
      </c>
      <c r="I46" s="22">
        <f>IF($C$30,I42-I43-I44-I45,"")</f>
        <v/>
      </c>
      <c r="J46" s="22">
        <f>IF($C$30,J42-J43-J44-J45,"")</f>
        <v/>
      </c>
      <c r="K46" s="22">
        <f>IF($C$30,K42-K43-K44-K45,"")</f>
        <v/>
      </c>
      <c r="L46" s="22">
        <f>IF($C$30,L42-L43-L44-L45,"")</f>
        <v/>
      </c>
      <c r="M46" s="22">
        <f>IF($C$30,M42-M43-M44-M45+M42*$C$27*(1-$C$28),"")</f>
        <v/>
      </c>
    </row>
    <row r="48">
      <c r="B48" s="15" t="inlineStr">
        <is>
          <t>Unlevered IRR</t>
        </is>
      </c>
      <c r="C48" s="24">
        <f>IF($C$30,IRR(C46:M46),"")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2026-09-25T06:33:58Z</dcterms:created>
  <dcterms:modified xmlns:dcterms="http://purl.org/dc/terms/" xmlns:xsi="http://www.w3.org/2001/XMLSchema-instance" xsi:type="dcterms:W3CDTF">2026-09-25T06:33:58Z</dcterms:modified>
</cp:coreProperties>
</file>