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nputs" sheetId="2" state="visible" r:id="rId2"/>
    <sheet xmlns:r="http://schemas.openxmlformats.org/officeDocument/2006/relationships" name="Metrics" sheetId="3" state="visible" r:id="rId3"/>
    <sheet xmlns:r="http://schemas.openxmlformats.org/officeDocument/2006/relationships" name="Cases" sheetId="4" state="visible" r:id="rId4"/>
    <sheet xmlns:r="http://schemas.openxmlformats.org/officeDocument/2006/relationships" name="Scorecard" sheetId="5" state="visible" r:id="rId5"/>
    <sheet xmlns:r="http://schemas.openxmlformats.org/officeDocument/2006/relationships" name="Triggers" sheetId="6" state="visible" r:id="rId6"/>
    <sheet xmlns:r="http://schemas.openxmlformats.org/officeDocument/2006/relationships" name="Checks" sheetId="7" state="visible" r:id="rId7"/>
  </sheets>
  <definedNames/>
  <calcPr calcId="124519" fullCalcOnLoad="1"/>
</workbook>
</file>

<file path=xl/styles.xml><?xml version="1.0" encoding="utf-8"?>
<styleSheet xmlns="http://schemas.openxmlformats.org/spreadsheetml/2006/main">
  <numFmts count="6">
    <numFmt numFmtId="164" formatCode="#,##0;[Red]-#,##0"/>
    <numFmt numFmtId="165" formatCode="0.00&quot;x&quot;"/>
    <numFmt numFmtId="166" formatCode="0.0%"/>
    <numFmt numFmtId="167" formatCode="0.0&quot;x&quot;"/>
    <numFmt numFmtId="168" formatCode="0.000&quot;x&quot;"/>
    <numFmt numFmtId="169" formatCode="0.000"/>
  </numFmts>
  <fonts count="6">
    <font>
      <name val="Calibri"/>
      <family val="2"/>
      <color theme="1"/>
      <sz val="11"/>
      <scheme val="minor"/>
    </font>
    <font>
      <name val="Arial"/>
      <b val="1"/>
      <color rgb="00FFFFFF"/>
      <sz val="13"/>
    </font>
    <font>
      <name val="Arial"/>
      <sz val="10"/>
    </font>
    <font>
      <name val="Arial"/>
      <b val="1"/>
      <color rgb="00FFFFFF"/>
      <sz val="10"/>
    </font>
    <font>
      <name val="Arial"/>
      <color rgb="001F4FB4"/>
      <sz val="10"/>
    </font>
    <font>
      <name val="Arial"/>
      <b val="1"/>
      <sz val="10"/>
    </font>
  </fonts>
  <fills count="6">
    <fill>
      <patternFill/>
    </fill>
    <fill>
      <patternFill patternType="gray125"/>
    </fill>
    <fill>
      <patternFill patternType="solid">
        <fgColor rgb="001E2248"/>
      </patternFill>
    </fill>
    <fill>
      <patternFill patternType="solid">
        <fgColor rgb="003A3F74"/>
      </patternFill>
    </fill>
    <fill>
      <patternFill patternType="solid">
        <fgColor rgb="00EEF3FB"/>
      </patternFill>
    </fill>
    <fill>
      <patternFill patternType="solid">
        <fgColor rgb="00F3EAD3"/>
      </patternFill>
    </fill>
  </fills>
  <borders count="1">
    <border>
      <left/>
      <right/>
      <top/>
      <bottom/>
      <diagonal/>
    </border>
  </borders>
  <cellStyleXfs count="1">
    <xf numFmtId="0" fontId="0" fillId="0" borderId="0"/>
  </cellStyleXfs>
  <cellXfs count="23">
    <xf numFmtId="0" fontId="0" fillId="0" borderId="0" pivotButton="0" quotePrefix="0" xfId="0"/>
    <xf numFmtId="0" fontId="1" fillId="2" borderId="0" pivotButton="0" quotePrefix="0" xfId="0"/>
    <xf numFmtId="0" fontId="2" fillId="0" borderId="0" pivotButton="0" quotePrefix="0" xfId="0"/>
    <xf numFmtId="0" fontId="0" fillId="2" borderId="0" pivotButton="0" quotePrefix="0" xfId="0"/>
    <xf numFmtId="0" fontId="3" fillId="3" borderId="0" applyAlignment="1" pivotButton="0" quotePrefix="0" xfId="0">
      <alignment vertical="center" wrapText="1"/>
    </xf>
    <xf numFmtId="164" fontId="4" fillId="4" borderId="0" pivotButton="0" quotePrefix="0" xfId="0"/>
    <xf numFmtId="0" fontId="5" fillId="0" borderId="0" pivotButton="0" quotePrefix="0" xfId="0"/>
    <xf numFmtId="1" fontId="4" fillId="4" borderId="0" pivotButton="0" quotePrefix="0" xfId="0"/>
    <xf numFmtId="165" fontId="4" fillId="4" borderId="0" pivotButton="0" quotePrefix="0" xfId="0"/>
    <xf numFmtId="166" fontId="4" fillId="4" borderId="0" pivotButton="0" quotePrefix="0" xfId="0"/>
    <xf numFmtId="1" fontId="2" fillId="0" borderId="0" pivotButton="0" quotePrefix="0" xfId="0"/>
    <xf numFmtId="0" fontId="4" fillId="4" borderId="0" pivotButton="0" quotePrefix="0" xfId="0"/>
    <xf numFmtId="164" fontId="2" fillId="0" borderId="0" pivotButton="0" quotePrefix="0" xfId="0"/>
    <xf numFmtId="164" fontId="5" fillId="0" borderId="0" pivotButton="0" quotePrefix="0" xfId="0"/>
    <xf numFmtId="165" fontId="5" fillId="0" borderId="0" pivotButton="0" quotePrefix="0" xfId="0"/>
    <xf numFmtId="166" fontId="5" fillId="0" borderId="0" pivotButton="0" quotePrefix="0" xfId="0"/>
    <xf numFmtId="167" fontId="2" fillId="0" borderId="0" pivotButton="0" quotePrefix="0" xfId="0"/>
    <xf numFmtId="166" fontId="2" fillId="0" borderId="0" pivotButton="0" quotePrefix="0" xfId="0"/>
    <xf numFmtId="165" fontId="2" fillId="0" borderId="0" pivotButton="0" quotePrefix="0" xfId="0"/>
    <xf numFmtId="0" fontId="2" fillId="0" borderId="0" applyAlignment="1" pivotButton="0" quotePrefix="0" xfId="0">
      <alignment vertical="top" wrapText="1"/>
    </xf>
    <xf numFmtId="168" fontId="5" fillId="0" borderId="0" pivotButton="0" quotePrefix="0" xfId="0"/>
    <xf numFmtId="0" fontId="5" fillId="5" borderId="0" pivotButton="0" quotePrefix="0" xfId="0"/>
    <xf numFmtId="169"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2"/>
  <sheetViews>
    <sheetView showGridLines="0" workbookViewId="0">
      <selection activeCell="A1" sqref="A1"/>
    </sheetView>
  </sheetViews>
  <sheetFormatPr baseColWidth="8" defaultRowHeight="15"/>
  <cols>
    <col width="2" customWidth="1" min="1" max="1"/>
    <col width="120" customWidth="1" min="2" max="2"/>
  </cols>
  <sheetData>
    <row r="1" ht="10" customHeight="1"/>
    <row r="2">
      <c r="B2" s="1" t="inlineStr">
        <is>
          <t>The Credit Rating Analyst: companion workbook</t>
        </is>
      </c>
    </row>
    <row r="4">
      <c r="B4" s="2" t="inlineStr">
        <is>
          <t>This workbook rebuilds the Thornvale case of The Credit Rating Analyst (Julian R. Sterling, 2026) with live formulas.</t>
        </is>
      </c>
    </row>
    <row r="5">
      <c r="B5" s="2" t="inlineStr">
        <is>
          <t>Blue cells on a light blue background are inputs. Everything else is a formula. Amounts in US$ million unless stated. FY2022 to FY2025 are actuals; FY2026 to FY2028 are Kestrel Bay's base case of May 2026.</t>
        </is>
      </c>
    </row>
    <row r="6">
      <c r="B6" s="2" t="inlineStr">
        <is>
          <t>Inputs: reported figures by year, balance sheet items, the acquisition, the operating cash threshold, the financial risk bands, the anchor matrix, the rating scale, the business risk score, the triggers and the EBITDA paths of the four forecast cases.</t>
        </is>
      </c>
    </row>
    <row r="7">
      <c r="B7" s="2" t="inlineStr">
        <is>
          <t>Metrics (Chapters 5 and 6): reported debt rebuilt from the cash flows, Kestrel Bay adjusted EBITDA and adjusted debt, FFO, FOCF, DCF, adjusted leverage, FFO to debt, interest cover and the financial risk score by year; the pro forma view at closing.</t>
        </is>
      </c>
    </row>
    <row r="8">
      <c r="B8" s="2" t="inlineStr">
        <is>
          <t>Scorecard (Chapters 3, 7, 9, 12 and 13): for the March 2023, January 2025 and May 2026 committees, the leverage of the years weighted equally, the financial risk score, the anchor from the matrix, the modifier notches (blue, entered by you), the issuer rating and the issue ratings of the secured term loan and the unsecured notes.</t>
        </is>
      </c>
    </row>
    <row r="9">
      <c r="B9" s="2" t="inlineStr">
        <is>
          <t>Cases (Chapters 6, 12 and 13): the January 2025 base case, the November 2025 base case, management's plan of May 2026 and Kestrel Bay's downside, each recomputed from the cash flows.</t>
        </is>
      </c>
    </row>
    <row r="10">
      <c r="B10" s="2" t="inlineStr">
        <is>
          <t>Triggers (Chapter 13): each year's leverage and FFO to debt tested against the triggers of January 2025 and May 2026, with flags.</t>
        </is>
      </c>
    </row>
    <row r="11">
      <c r="B11" s="2" t="inlineStr">
        <is>
          <t>Checks: the figures printed in the book beside the formulas that produce them. ALL CHECKS OK on the default inputs.</t>
        </is>
      </c>
    </row>
    <row r="12">
      <c r="B12" s="2" t="inlineStr">
        <is>
          <t>Kestrel Bay's methodology here is a simplified teaching device, not the criteria of any real rating agency. Everything in the case is fictional and illustrative. Nothing here is investment, legal or accounting advice. No macro, no circular reference, no external link.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J86"/>
  <sheetViews>
    <sheetView showGridLines="0" workbookViewId="0">
      <selection activeCell="A1" sqref="A1"/>
    </sheetView>
  </sheetViews>
  <sheetFormatPr baseColWidth="8" defaultRowHeight="15"/>
  <cols>
    <col width="2" customWidth="1" min="1" max="1"/>
    <col width="52" customWidth="1" min="2" max="2"/>
    <col width="11" customWidth="1" min="3" max="3"/>
    <col width="11" customWidth="1" min="4" max="4"/>
    <col width="11" customWidth="1" min="5" max="5"/>
    <col width="11" customWidth="1" min="6" max="6"/>
    <col width="11" customWidth="1" min="7" max="7"/>
    <col width="11" customWidth="1" min="8" max="8"/>
    <col width="11" customWidth="1" min="9" max="9"/>
    <col width="40" customWidth="1" min="10" max="10"/>
  </cols>
  <sheetData>
    <row r="1" ht="10" customHeight="1"/>
    <row r="2">
      <c r="B2" s="1" t="inlineStr">
        <is>
          <t>Inputs (blue cells)</t>
        </is>
      </c>
      <c r="C2" s="3" t="n"/>
      <c r="D2" s="3" t="n"/>
      <c r="E2" s="3" t="n"/>
      <c r="F2" s="3" t="n"/>
      <c r="G2" s="3" t="n"/>
      <c r="H2" s="3" t="n"/>
      <c r="I2" s="3" t="n"/>
      <c r="J2" s="3" t="n"/>
    </row>
    <row r="4">
      <c r="B4" s="4" t="inlineStr">
        <is>
          <t>Annual inputs ($ million)</t>
        </is>
      </c>
      <c r="C4" s="4" t="inlineStr">
        <is>
          <t>FY2022</t>
        </is>
      </c>
      <c r="D4" s="4" t="inlineStr">
        <is>
          <t>FY2023</t>
        </is>
      </c>
      <c r="E4" s="4" t="inlineStr">
        <is>
          <t>FY2024</t>
        </is>
      </c>
      <c r="F4" s="4" t="inlineStr">
        <is>
          <t>FY2025</t>
        </is>
      </c>
      <c r="G4" s="4" t="inlineStr">
        <is>
          <t>FY2026</t>
        </is>
      </c>
      <c r="H4" s="4" t="inlineStr">
        <is>
          <t>FY2027</t>
        </is>
      </c>
      <c r="I4" s="4" t="inlineStr">
        <is>
          <t>FY2028</t>
        </is>
      </c>
      <c r="J4" s="4" t="inlineStr">
        <is>
          <t>Note</t>
        </is>
      </c>
    </row>
    <row r="5">
      <c r="B5" s="2" t="inlineStr">
        <is>
          <t>Revenue</t>
        </is>
      </c>
      <c r="C5" s="5" t="n">
        <v>2600</v>
      </c>
      <c r="D5" s="5" t="n">
        <v>2720</v>
      </c>
      <c r="E5" s="5" t="n">
        <v>2800</v>
      </c>
      <c r="F5" s="5" t="n">
        <v>3650</v>
      </c>
      <c r="G5" s="5" t="n">
        <v>3520</v>
      </c>
      <c r="H5" s="5" t="n">
        <v>3640</v>
      </c>
      <c r="I5" s="5" t="n">
        <v>3760</v>
      </c>
    </row>
    <row r="6">
      <c r="B6" s="2" t="inlineStr">
        <is>
          <t>Reported EBITDA</t>
        </is>
      </c>
      <c r="C6" s="5" t="n">
        <v>420</v>
      </c>
      <c r="D6" s="5" t="n">
        <v>455</v>
      </c>
      <c r="E6" s="5" t="n">
        <v>480</v>
      </c>
      <c r="F6" s="5" t="n">
        <v>555</v>
      </c>
      <c r="G6" s="5" t="n">
        <v>510</v>
      </c>
      <c r="H6" s="5" t="n">
        <v>560</v>
      </c>
      <c r="I6" s="5" t="n">
        <v>600</v>
      </c>
      <c r="J6" s="2" t="inlineStr">
        <is>
          <t>2026 to 2028: Kestrel Bay base case, May 2026</t>
        </is>
      </c>
    </row>
    <row r="7">
      <c r="B7" s="2" t="inlineStr">
        <is>
          <t>of which restructuring and integration costs</t>
        </is>
      </c>
      <c r="C7" s="5" t="n">
        <v>20</v>
      </c>
      <c r="D7" s="5" t="n">
        <v>15</v>
      </c>
      <c r="E7" s="5" t="n">
        <v>25</v>
      </c>
      <c r="F7" s="5" t="n">
        <v>45</v>
      </c>
      <c r="G7" s="5" t="n">
        <v>30</v>
      </c>
      <c r="H7" s="5" t="n">
        <v>15</v>
      </c>
      <c r="I7" s="5" t="n">
        <v>10</v>
      </c>
    </row>
    <row r="8">
      <c r="B8" s="2" t="inlineStr">
        <is>
          <t>Operating lease adjustment</t>
        </is>
      </c>
      <c r="C8" s="5" t="n">
        <v>40</v>
      </c>
      <c r="D8" s="5" t="n">
        <v>40</v>
      </c>
      <c r="E8" s="5" t="n">
        <v>40</v>
      </c>
      <c r="F8" s="5" t="n">
        <v>52</v>
      </c>
      <c r="G8" s="5" t="n">
        <v>52</v>
      </c>
      <c r="H8" s="5" t="n">
        <v>52</v>
      </c>
      <c r="I8" s="5" t="n">
        <v>52</v>
      </c>
    </row>
    <row r="9">
      <c r="B9" s="2" t="inlineStr">
        <is>
          <t>Cash interest</t>
        </is>
      </c>
      <c r="C9" s="5" t="n">
        <v>50</v>
      </c>
      <c r="D9" s="5" t="n">
        <v>52</v>
      </c>
      <c r="E9" s="5" t="n">
        <v>48</v>
      </c>
      <c r="F9" s="5" t="n">
        <v>112</v>
      </c>
      <c r="G9" s="5" t="n">
        <v>110</v>
      </c>
      <c r="H9" s="5" t="n">
        <v>104</v>
      </c>
      <c r="I9" s="5" t="n">
        <v>98</v>
      </c>
    </row>
    <row r="10">
      <c r="B10" s="2" t="inlineStr">
        <is>
          <t>Cash taxes</t>
        </is>
      </c>
      <c r="C10" s="5" t="n">
        <v>70</v>
      </c>
      <c r="D10" s="5" t="n">
        <v>75</v>
      </c>
      <c r="E10" s="5" t="n">
        <v>80</v>
      </c>
      <c r="F10" s="5" t="n">
        <v>55</v>
      </c>
      <c r="G10" s="5" t="n">
        <v>45</v>
      </c>
      <c r="H10" s="5" t="n">
        <v>60</v>
      </c>
      <c r="I10" s="5" t="n">
        <v>70</v>
      </c>
    </row>
    <row r="11">
      <c r="B11" s="2" t="inlineStr">
        <is>
          <t>Working capital (+ inflow, - outflow)</t>
        </is>
      </c>
      <c r="C11" s="5" t="n">
        <v>-10</v>
      </c>
      <c r="D11" s="5" t="n">
        <v>-5</v>
      </c>
      <c r="E11" s="5" t="n">
        <v>-10</v>
      </c>
      <c r="F11" s="5" t="n">
        <v>-80</v>
      </c>
      <c r="G11" s="5" t="n">
        <v>0</v>
      </c>
      <c r="H11" s="5" t="n">
        <v>-10</v>
      </c>
      <c r="I11" s="5" t="n">
        <v>-10</v>
      </c>
    </row>
    <row r="12">
      <c r="B12" s="2" t="inlineStr">
        <is>
          <t>Capital expenditure</t>
        </is>
      </c>
      <c r="C12" s="5" t="n">
        <v>130</v>
      </c>
      <c r="D12" s="5" t="n">
        <v>135</v>
      </c>
      <c r="E12" s="5" t="n">
        <v>140</v>
      </c>
      <c r="F12" s="5" t="n">
        <v>250</v>
      </c>
      <c r="G12" s="5" t="n">
        <v>190</v>
      </c>
      <c r="H12" s="5" t="n">
        <v>180</v>
      </c>
      <c r="I12" s="5" t="n">
        <v>180</v>
      </c>
    </row>
    <row r="13">
      <c r="B13" s="2" t="inlineStr">
        <is>
          <t>Dividends</t>
        </is>
      </c>
      <c r="C13" s="5" t="n">
        <v>60</v>
      </c>
      <c r="D13" s="5" t="n">
        <v>65</v>
      </c>
      <c r="E13" s="5" t="n">
        <v>72</v>
      </c>
      <c r="F13" s="5" t="n">
        <v>80</v>
      </c>
      <c r="G13" s="5" t="n">
        <v>80</v>
      </c>
      <c r="H13" s="5" t="n">
        <v>80</v>
      </c>
      <c r="I13" s="5" t="n">
        <v>85</v>
      </c>
    </row>
    <row r="14">
      <c r="B14" s="2" t="inlineStr">
        <is>
          <t>Share buybacks</t>
        </is>
      </c>
      <c r="C14" s="5" t="n">
        <v>0</v>
      </c>
      <c r="D14" s="5" t="n">
        <v>83</v>
      </c>
      <c r="E14" s="5" t="n">
        <v>0</v>
      </c>
      <c r="F14" s="5" t="n">
        <v>0</v>
      </c>
      <c r="G14" s="5" t="n">
        <v>0</v>
      </c>
      <c r="H14" s="5" t="n">
        <v>0</v>
      </c>
      <c r="I14" s="5" t="n">
        <v>0</v>
      </c>
    </row>
    <row r="15">
      <c r="B15" s="2" t="inlineStr">
        <is>
          <t>Cash at year end</t>
        </is>
      </c>
      <c r="C15" s="5" t="n">
        <v>150</v>
      </c>
      <c r="D15" s="5" t="n">
        <v>180</v>
      </c>
      <c r="E15" s="5" t="n">
        <v>300</v>
      </c>
      <c r="F15" s="5" t="n">
        <v>160</v>
      </c>
      <c r="G15" s="5" t="n">
        <v>150</v>
      </c>
      <c r="H15" s="5" t="n">
        <v>150</v>
      </c>
      <c r="I15" s="5" t="n">
        <v>160</v>
      </c>
    </row>
    <row r="16">
      <c r="B16" s="2" t="inlineStr">
        <is>
          <t>Lease liabilities at year end</t>
        </is>
      </c>
      <c r="C16" s="5" t="n">
        <v>180</v>
      </c>
      <c r="D16" s="5" t="n">
        <v>175</v>
      </c>
      <c r="E16" s="5" t="n">
        <v>170</v>
      </c>
      <c r="F16" s="5" t="n">
        <v>225</v>
      </c>
      <c r="G16" s="5" t="n">
        <v>220</v>
      </c>
      <c r="H16" s="5" t="n">
        <v>215</v>
      </c>
      <c r="I16" s="5" t="n">
        <v>210</v>
      </c>
    </row>
    <row r="17">
      <c r="B17" s="2" t="inlineStr">
        <is>
          <t>Pension deficit at year end</t>
        </is>
      </c>
      <c r="C17" s="5" t="n">
        <v>90</v>
      </c>
      <c r="D17" s="5" t="n">
        <v>70</v>
      </c>
      <c r="E17" s="5" t="n">
        <v>60</v>
      </c>
      <c r="F17" s="5" t="n">
        <v>95</v>
      </c>
      <c r="G17" s="5" t="n">
        <v>90</v>
      </c>
      <c r="H17" s="5" t="n">
        <v>85</v>
      </c>
      <c r="I17" s="5" t="n">
        <v>80</v>
      </c>
    </row>
    <row r="19">
      <c r="B19" s="6" t="inlineStr">
        <is>
          <t>Scalars</t>
        </is>
      </c>
    </row>
    <row r="20">
      <c r="B20" s="2" t="inlineStr">
        <is>
          <t>Reported debt at end FY2022</t>
        </is>
      </c>
      <c r="C20" s="5" t="n">
        <v>1050</v>
      </c>
      <c r="D20" s="2" t="inlineStr"/>
    </row>
    <row r="21">
      <c r="B21" s="2" t="inlineStr">
        <is>
          <t>New notes at closing (2 January 2025)</t>
        </is>
      </c>
      <c r="C21" s="5" t="n">
        <v>900</v>
      </c>
      <c r="D21" s="2" t="inlineStr">
        <is>
          <t>two tranches of $450 million</t>
        </is>
      </c>
    </row>
    <row r="22">
      <c r="B22" s="2" t="inlineStr">
        <is>
          <t>New secured term loan at closing</t>
        </is>
      </c>
      <c r="C22" s="5" t="n">
        <v>200</v>
      </c>
      <c r="D22" s="2" t="inlineStr"/>
    </row>
    <row r="23">
      <c r="B23" s="2" t="inlineStr">
        <is>
          <t>Cash used at closing (price and fees)</t>
        </is>
      </c>
      <c r="C23" s="5" t="n">
        <v>120</v>
      </c>
      <c r="D23" s="2" t="inlineStr"/>
    </row>
    <row r="24">
      <c r="B24" s="2" t="inlineStr">
        <is>
          <t>Target FY2024 EBITDA</t>
        </is>
      </c>
      <c r="C24" s="5" t="n">
        <v>150</v>
      </c>
      <c r="D24" s="2" t="inlineStr"/>
    </row>
    <row r="25">
      <c r="B25" s="2" t="inlineStr">
        <is>
          <t>Purchase price</t>
        </is>
      </c>
      <c r="C25" s="5" t="n">
        <v>1200</v>
      </c>
      <c r="D25" s="2" t="inlineStr"/>
    </row>
    <row r="26">
      <c r="B26" s="2" t="inlineStr">
        <is>
          <t>Operating cash not netted (Kestrel Bay)</t>
        </is>
      </c>
      <c r="C26" s="5" t="n">
        <v>75</v>
      </c>
      <c r="D26" s="2" t="inlineStr"/>
    </row>
    <row r="27">
      <c r="B27" s="2" t="inlineStr">
        <is>
          <t>Business risk score (1 excellent to 6 vulnerable)</t>
        </is>
      </c>
      <c r="C27" s="7" t="n">
        <v>3</v>
      </c>
      <c r="D27" s="2" t="inlineStr"/>
    </row>
    <row r="28">
      <c r="B28" s="2" t="inlineStr">
        <is>
          <t>Downgrade trigger, leverage (January 2025)</t>
        </is>
      </c>
      <c r="C28" s="8" t="n">
        <v>3.5</v>
      </c>
      <c r="D28" s="2" t="inlineStr"/>
    </row>
    <row r="29">
      <c r="B29" s="2" t="inlineStr">
        <is>
          <t>Downgrade trigger, FFO to debt (January 2025)</t>
        </is>
      </c>
      <c r="C29" s="9" t="n">
        <v>0.2</v>
      </c>
      <c r="D29" s="2" t="inlineStr"/>
    </row>
    <row r="30">
      <c r="B30" s="2" t="inlineStr">
        <is>
          <t>Upgrade trigger, leverage (January 2025)</t>
        </is>
      </c>
      <c r="C30" s="8" t="n">
        <v>2.5</v>
      </c>
      <c r="D30" s="2" t="inlineStr"/>
    </row>
    <row r="31">
      <c r="B31" s="2" t="inlineStr">
        <is>
          <t>Downgrade trigger, leverage (May 2026)</t>
        </is>
      </c>
      <c r="C31" s="8" t="n">
        <v>4</v>
      </c>
      <c r="D31" s="2" t="inlineStr"/>
    </row>
    <row r="32">
      <c r="B32" s="2" t="inlineStr">
        <is>
          <t>Downgrade trigger, FFO to debt (May 2026)</t>
        </is>
      </c>
      <c r="C32" s="9" t="n">
        <v>0.15</v>
      </c>
      <c r="D32" s="2" t="inlineStr"/>
    </row>
    <row r="33">
      <c r="B33" s="2" t="inlineStr">
        <is>
          <t>Upgrade trigger, leverage (May 2026)</t>
        </is>
      </c>
      <c r="C33" s="8" t="n">
        <v>3</v>
      </c>
      <c r="D33" s="2" t="inlineStr"/>
    </row>
    <row r="34">
      <c r="B34" s="2" t="inlineStr">
        <is>
          <t>Priority debt threshold for notching unsecured debt down</t>
        </is>
      </c>
      <c r="C34" s="9" t="n">
        <v>0.3</v>
      </c>
      <c r="D34" s="2" t="inlineStr"/>
    </row>
    <row r="36">
      <c r="B36" s="6" t="inlineStr">
        <is>
          <t>Financial risk bands (adjusted debt to EBITDA)</t>
        </is>
      </c>
    </row>
    <row r="37">
      <c r="B37" s="4" t="inlineStr">
        <is>
          <t>Score</t>
        </is>
      </c>
      <c r="C37" s="4" t="inlineStr">
        <is>
          <t>From</t>
        </is>
      </c>
      <c r="D37" s="4" t="inlineStr">
        <is>
          <t>Below</t>
        </is>
      </c>
      <c r="E37" s="4" t="inlineStr">
        <is>
          <t>FFO to debt at least</t>
        </is>
      </c>
    </row>
    <row r="38">
      <c r="B38" s="10" t="n">
        <v>1</v>
      </c>
      <c r="C38" s="8" t="n">
        <v>0</v>
      </c>
      <c r="D38" s="8" t="n">
        <v>1.5</v>
      </c>
      <c r="E38" s="9" t="n">
        <v>0.6</v>
      </c>
    </row>
    <row r="39">
      <c r="B39" s="10" t="n">
        <v>2</v>
      </c>
      <c r="C39" s="8" t="n">
        <v>1.5</v>
      </c>
      <c r="D39" s="8" t="n">
        <v>2</v>
      </c>
      <c r="E39" s="9" t="n">
        <v>0.4</v>
      </c>
    </row>
    <row r="40">
      <c r="B40" s="10" t="n">
        <v>3</v>
      </c>
      <c r="C40" s="8" t="n">
        <v>2</v>
      </c>
      <c r="D40" s="8" t="n">
        <v>3</v>
      </c>
      <c r="E40" s="9" t="n">
        <v>0.25</v>
      </c>
    </row>
    <row r="41">
      <c r="B41" s="10" t="n">
        <v>4</v>
      </c>
      <c r="C41" s="8" t="n">
        <v>3</v>
      </c>
      <c r="D41" s="8" t="n">
        <v>4</v>
      </c>
      <c r="E41" s="9" t="n">
        <v>0.15</v>
      </c>
    </row>
    <row r="42">
      <c r="B42" s="10" t="n">
        <v>5</v>
      </c>
      <c r="C42" s="8" t="n">
        <v>4</v>
      </c>
      <c r="D42" s="8" t="n">
        <v>5</v>
      </c>
      <c r="E42" s="9" t="n">
        <v>0.1</v>
      </c>
    </row>
    <row r="43">
      <c r="B43" s="10" t="n">
        <v>6</v>
      </c>
      <c r="C43" s="8" t="n">
        <v>5</v>
      </c>
      <c r="D43" s="8" t="n">
        <v>99</v>
      </c>
      <c r="E43" s="9" t="n">
        <v>0</v>
      </c>
    </row>
    <row r="45">
      <c r="B45" s="6" t="inlineStr">
        <is>
          <t>Anchor matrix: business risk (rows) by financial risk 1 to 6 (columns)</t>
        </is>
      </c>
    </row>
    <row r="46">
      <c r="B46" s="4" t="inlineStr">
        <is>
          <t>Business risk</t>
        </is>
      </c>
      <c r="C46" s="4" t="inlineStr">
        <is>
          <t>FR 1</t>
        </is>
      </c>
      <c r="D46" s="4" t="inlineStr">
        <is>
          <t>FR 2</t>
        </is>
      </c>
      <c r="E46" s="4" t="inlineStr">
        <is>
          <t>FR 3</t>
        </is>
      </c>
      <c r="F46" s="4" t="inlineStr">
        <is>
          <t>FR 4</t>
        </is>
      </c>
      <c r="G46" s="4" t="inlineStr">
        <is>
          <t>FR 5</t>
        </is>
      </c>
      <c r="H46" s="4" t="inlineStr">
        <is>
          <t>FR 6</t>
        </is>
      </c>
    </row>
    <row r="47">
      <c r="B47" s="2" t="inlineStr">
        <is>
          <t>1 excellent</t>
        </is>
      </c>
      <c r="C47" s="11" t="inlineStr">
        <is>
          <t>aa+</t>
        </is>
      </c>
      <c r="D47" s="11" t="inlineStr">
        <is>
          <t>aa</t>
        </is>
      </c>
      <c r="E47" s="11" t="inlineStr">
        <is>
          <t>a</t>
        </is>
      </c>
      <c r="F47" s="11" t="inlineStr">
        <is>
          <t>a-</t>
        </is>
      </c>
      <c r="G47" s="11" t="inlineStr">
        <is>
          <t>bbb</t>
        </is>
      </c>
      <c r="H47" s="11" t="inlineStr">
        <is>
          <t>bb+</t>
        </is>
      </c>
    </row>
    <row r="48">
      <c r="B48" s="2" t="inlineStr">
        <is>
          <t>2 strong</t>
        </is>
      </c>
      <c r="C48" s="11" t="inlineStr">
        <is>
          <t>aa</t>
        </is>
      </c>
      <c r="D48" s="11" t="inlineStr">
        <is>
          <t>a+</t>
        </is>
      </c>
      <c r="E48" s="11" t="inlineStr">
        <is>
          <t>a-</t>
        </is>
      </c>
      <c r="F48" s="11" t="inlineStr">
        <is>
          <t>bbb</t>
        </is>
      </c>
      <c r="G48" s="11" t="inlineStr">
        <is>
          <t>bb+</t>
        </is>
      </c>
      <c r="H48" s="11" t="inlineStr">
        <is>
          <t>bb</t>
        </is>
      </c>
    </row>
    <row r="49">
      <c r="B49" s="2" t="inlineStr">
        <is>
          <t>3 satisfactory</t>
        </is>
      </c>
      <c r="C49" s="11" t="inlineStr">
        <is>
          <t>a</t>
        </is>
      </c>
      <c r="D49" s="11" t="inlineStr">
        <is>
          <t>a-</t>
        </is>
      </c>
      <c r="E49" s="11" t="inlineStr">
        <is>
          <t>bbb</t>
        </is>
      </c>
      <c r="F49" s="11" t="inlineStr">
        <is>
          <t>bb+</t>
        </is>
      </c>
      <c r="G49" s="11" t="inlineStr">
        <is>
          <t>bb</t>
        </is>
      </c>
      <c r="H49" s="11" t="inlineStr">
        <is>
          <t>b+</t>
        </is>
      </c>
    </row>
    <row r="50">
      <c r="B50" s="2" t="inlineStr">
        <is>
          <t>4 fair</t>
        </is>
      </c>
      <c r="C50" s="11" t="inlineStr">
        <is>
          <t>bbb+</t>
        </is>
      </c>
      <c r="D50" s="11" t="inlineStr">
        <is>
          <t>bbb</t>
        </is>
      </c>
      <c r="E50" s="11" t="inlineStr">
        <is>
          <t>bbb-</t>
        </is>
      </c>
      <c r="F50" s="11" t="inlineStr">
        <is>
          <t>bb</t>
        </is>
      </c>
      <c r="G50" s="11" t="inlineStr">
        <is>
          <t>bb-</t>
        </is>
      </c>
      <c r="H50" s="11" t="inlineStr">
        <is>
          <t>b</t>
        </is>
      </c>
    </row>
    <row r="51">
      <c r="B51" s="2" t="inlineStr">
        <is>
          <t>5 weak</t>
        </is>
      </c>
      <c r="C51" s="11" t="inlineStr">
        <is>
          <t>bbb-</t>
        </is>
      </c>
      <c r="D51" s="11" t="inlineStr">
        <is>
          <t>bb+</t>
        </is>
      </c>
      <c r="E51" s="11" t="inlineStr">
        <is>
          <t>bb</t>
        </is>
      </c>
      <c r="F51" s="11" t="inlineStr">
        <is>
          <t>bb-</t>
        </is>
      </c>
      <c r="G51" s="11" t="inlineStr">
        <is>
          <t>b+</t>
        </is>
      </c>
      <c r="H51" s="11" t="inlineStr">
        <is>
          <t>b-</t>
        </is>
      </c>
    </row>
    <row r="52">
      <c r="B52" s="2" t="inlineStr">
        <is>
          <t>6 vulnerable</t>
        </is>
      </c>
      <c r="C52" s="11" t="inlineStr">
        <is>
          <t>bb</t>
        </is>
      </c>
      <c r="D52" s="11" t="inlineStr">
        <is>
          <t>bb-</t>
        </is>
      </c>
      <c r="E52" s="11" t="inlineStr">
        <is>
          <t>b+</t>
        </is>
      </c>
      <c r="F52" s="11" t="inlineStr">
        <is>
          <t>b</t>
        </is>
      </c>
      <c r="G52" s="11" t="inlineStr">
        <is>
          <t>b-</t>
        </is>
      </c>
      <c r="H52" s="11" t="inlineStr">
        <is>
          <t>ccc+</t>
        </is>
      </c>
    </row>
    <row r="54">
      <c r="B54" s="6" t="inlineStr">
        <is>
          <t>Rating scale (best to worst)</t>
        </is>
      </c>
    </row>
    <row r="55">
      <c r="B55" s="2" t="inlineStr">
        <is>
          <t>aaa</t>
        </is>
      </c>
    </row>
    <row r="56">
      <c r="B56" s="2" t="inlineStr">
        <is>
          <t>aa+</t>
        </is>
      </c>
    </row>
    <row r="57">
      <c r="B57" s="2" t="inlineStr">
        <is>
          <t>aa</t>
        </is>
      </c>
    </row>
    <row r="58">
      <c r="B58" s="2" t="inlineStr">
        <is>
          <t>aa-</t>
        </is>
      </c>
    </row>
    <row r="59">
      <c r="B59" s="2" t="inlineStr">
        <is>
          <t>a+</t>
        </is>
      </c>
    </row>
    <row r="60">
      <c r="B60" s="2" t="inlineStr">
        <is>
          <t>a</t>
        </is>
      </c>
    </row>
    <row r="61">
      <c r="B61" s="2" t="inlineStr">
        <is>
          <t>a-</t>
        </is>
      </c>
    </row>
    <row r="62">
      <c r="B62" s="2" t="inlineStr">
        <is>
          <t>bbb+</t>
        </is>
      </c>
    </row>
    <row r="63">
      <c r="B63" s="2" t="inlineStr">
        <is>
          <t>bbb</t>
        </is>
      </c>
    </row>
    <row r="64">
      <c r="B64" s="2" t="inlineStr">
        <is>
          <t>bbb-</t>
        </is>
      </c>
    </row>
    <row r="65">
      <c r="B65" s="2" t="inlineStr">
        <is>
          <t>bb+</t>
        </is>
      </c>
    </row>
    <row r="66">
      <c r="B66" s="2" t="inlineStr">
        <is>
          <t>bb</t>
        </is>
      </c>
    </row>
    <row r="67">
      <c r="B67" s="2" t="inlineStr">
        <is>
          <t>bb-</t>
        </is>
      </c>
    </row>
    <row r="68">
      <c r="B68" s="2" t="inlineStr">
        <is>
          <t>b+</t>
        </is>
      </c>
    </row>
    <row r="69">
      <c r="B69" s="2" t="inlineStr">
        <is>
          <t>b</t>
        </is>
      </c>
    </row>
    <row r="70">
      <c r="B70" s="2" t="inlineStr">
        <is>
          <t>b-</t>
        </is>
      </c>
    </row>
    <row r="71">
      <c r="B71" s="2" t="inlineStr">
        <is>
          <t>ccc+</t>
        </is>
      </c>
    </row>
    <row r="73">
      <c r="B73" s="6" t="inlineStr">
        <is>
          <t>Forecast cases: reported EBITDA and overrides</t>
        </is>
      </c>
    </row>
    <row r="74">
      <c r="B74" s="4" t="inlineStr">
        <is>
          <t>Case and line</t>
        </is>
      </c>
      <c r="C74" s="4" t="inlineStr">
        <is>
          <t>FY2022</t>
        </is>
      </c>
      <c r="D74" s="4" t="inlineStr">
        <is>
          <t>FY2023</t>
        </is>
      </c>
      <c r="E74" s="4" t="inlineStr">
        <is>
          <t>FY2024</t>
        </is>
      </c>
      <c r="F74" s="4" t="inlineStr">
        <is>
          <t>FY2025</t>
        </is>
      </c>
      <c r="G74" s="4" t="inlineStr">
        <is>
          <t>FY2026</t>
        </is>
      </c>
      <c r="H74" s="4" t="inlineStr">
        <is>
          <t>FY2027</t>
        </is>
      </c>
      <c r="I74" s="4" t="inlineStr">
        <is>
          <t>FY2028</t>
        </is>
      </c>
    </row>
    <row r="75">
      <c r="B75" s="2" t="inlineStr">
        <is>
          <t>January 2025 base case: reported EBITDA</t>
        </is>
      </c>
      <c r="F75" s="5" t="n">
        <v>610</v>
      </c>
      <c r="G75" s="5" t="n">
        <v>650</v>
      </c>
      <c r="H75" s="5" t="n">
        <v>560</v>
      </c>
      <c r="I75" s="5" t="n">
        <v>600</v>
      </c>
    </row>
    <row r="76">
      <c r="B76" s="2" t="inlineStr">
        <is>
          <t>January 2025 base case: capital expenditure</t>
        </is>
      </c>
      <c r="F76" s="5" t="n">
        <v>200</v>
      </c>
      <c r="G76" s="5" t="n">
        <v>190</v>
      </c>
      <c r="H76" s="5" t="n">
        <v>180</v>
      </c>
      <c r="I76" s="5" t="n">
        <v>180</v>
      </c>
    </row>
    <row r="77">
      <c r="B77" s="2" t="inlineStr">
        <is>
          <t>January 2025 base case: working capital</t>
        </is>
      </c>
      <c r="F77" s="5" t="n">
        <v>-20</v>
      </c>
      <c r="G77" s="5" t="n">
        <v>0</v>
      </c>
      <c r="H77" s="5" t="n">
        <v>-10</v>
      </c>
      <c r="I77" s="5" t="n">
        <v>-10</v>
      </c>
    </row>
    <row r="78">
      <c r="B78" s="2" t="inlineStr">
        <is>
          <t>November 2025 base case: reported EBITDA</t>
        </is>
      </c>
      <c r="F78" s="5" t="n">
        <v>560</v>
      </c>
      <c r="G78" s="5" t="n">
        <v>575</v>
      </c>
      <c r="H78" s="5" t="n">
        <v>560</v>
      </c>
      <c r="I78" s="5" t="n">
        <v>600</v>
      </c>
    </row>
    <row r="79">
      <c r="B79" s="2" t="inlineStr">
        <is>
          <t>November 2025 base case: capital expenditure</t>
        </is>
      </c>
      <c r="F79" s="5" t="n">
        <v>250</v>
      </c>
      <c r="G79" s="5" t="n">
        <v>190</v>
      </c>
      <c r="H79" s="5" t="n">
        <v>180</v>
      </c>
      <c r="I79" s="5" t="n">
        <v>180</v>
      </c>
    </row>
    <row r="80">
      <c r="B80" s="2" t="inlineStr">
        <is>
          <t>November 2025 base case: working capital</t>
        </is>
      </c>
      <c r="F80" s="5" t="n">
        <v>-80</v>
      </c>
      <c r="G80" s="5" t="n">
        <v>0</v>
      </c>
      <c r="H80" s="5" t="n">
        <v>-10</v>
      </c>
      <c r="I80" s="5" t="n">
        <v>-10</v>
      </c>
    </row>
    <row r="81">
      <c r="B81" s="2" t="inlineStr">
        <is>
          <t>Management plan, May 2026: reported EBITDA</t>
        </is>
      </c>
      <c r="G81" s="5" t="n">
        <v>525</v>
      </c>
      <c r="H81" s="5" t="n">
        <v>600</v>
      </c>
      <c r="I81" s="5" t="n">
        <v>640</v>
      </c>
    </row>
    <row r="82">
      <c r="B82" s="2" t="inlineStr">
        <is>
          <t>Management plan, May 2026: capital expenditure</t>
        </is>
      </c>
      <c r="G82" s="5" t="n">
        <v>190</v>
      </c>
      <c r="H82" s="5" t="n">
        <v>180</v>
      </c>
      <c r="I82" s="5" t="n">
        <v>180</v>
      </c>
    </row>
    <row r="83">
      <c r="B83" s="2" t="inlineStr">
        <is>
          <t>Management plan, May 2026: working capital</t>
        </is>
      </c>
      <c r="G83" s="5" t="n">
        <v>0</v>
      </c>
      <c r="H83" s="5" t="n">
        <v>-10</v>
      </c>
      <c r="I83" s="5" t="n">
        <v>-10</v>
      </c>
    </row>
    <row r="84">
      <c r="B84" s="2" t="inlineStr">
        <is>
          <t>Kestrel Bay downside, May 2026: reported EBITDA</t>
        </is>
      </c>
      <c r="G84" s="5" t="n">
        <v>460</v>
      </c>
      <c r="H84" s="5" t="n">
        <v>500</v>
      </c>
      <c r="I84" s="5" t="n">
        <v>540</v>
      </c>
    </row>
    <row r="85">
      <c r="B85" s="2" t="inlineStr">
        <is>
          <t>Kestrel Bay downside, May 2026: capital expenditure</t>
        </is>
      </c>
      <c r="G85" s="5" t="n">
        <v>190</v>
      </c>
      <c r="H85" s="5" t="n">
        <v>180</v>
      </c>
      <c r="I85" s="5" t="n">
        <v>180</v>
      </c>
    </row>
    <row r="86">
      <c r="B86" s="2" t="inlineStr">
        <is>
          <t>Kestrel Bay downside, May 2026: working capital</t>
        </is>
      </c>
      <c r="G86" s="5" t="n">
        <v>0</v>
      </c>
      <c r="H86" s="5" t="n">
        <v>-10</v>
      </c>
      <c r="I86" s="5" t="n">
        <v>-10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I26"/>
  <sheetViews>
    <sheetView showGridLines="0" workbookViewId="0">
      <selection activeCell="A1" sqref="A1"/>
    </sheetView>
  </sheetViews>
  <sheetFormatPr baseColWidth="8" defaultRowHeight="15"/>
  <cols>
    <col width="2" customWidth="1" min="1" max="1"/>
    <col width="52" customWidth="1" min="2" max="2"/>
    <col width="11" customWidth="1" min="3" max="3"/>
    <col width="11" customWidth="1" min="4" max="4"/>
    <col width="11" customWidth="1" min="5" max="5"/>
    <col width="11" customWidth="1" min="6" max="6"/>
    <col width="11" customWidth="1" min="7" max="7"/>
    <col width="11" customWidth="1" min="8" max="8"/>
    <col width="11" customWidth="1" min="9" max="9"/>
  </cols>
  <sheetData>
    <row r="1" ht="10" customHeight="1"/>
    <row r="2">
      <c r="B2" s="1" t="inlineStr">
        <is>
          <t>Metrics: Kestrel Bay adjusted figures by year</t>
        </is>
      </c>
      <c r="C2" s="3" t="n"/>
      <c r="D2" s="3" t="n"/>
      <c r="E2" s="3" t="n"/>
      <c r="F2" s="3" t="n"/>
      <c r="G2" s="3" t="n"/>
      <c r="H2" s="3" t="n"/>
      <c r="I2" s="3" t="n"/>
    </row>
    <row r="4">
      <c r="B4" s="4" t="inlineStr">
        <is>
          <t>$ million</t>
        </is>
      </c>
      <c r="C4" s="4" t="inlineStr">
        <is>
          <t>FY2022</t>
        </is>
      </c>
      <c r="D4" s="4" t="inlineStr">
        <is>
          <t>FY2023</t>
        </is>
      </c>
      <c r="E4" s="4" t="inlineStr">
        <is>
          <t>FY2024</t>
        </is>
      </c>
      <c r="F4" s="4" t="inlineStr">
        <is>
          <t>FY2025</t>
        </is>
      </c>
      <c r="G4" s="4" t="inlineStr">
        <is>
          <t>FY2026 E</t>
        </is>
      </c>
      <c r="H4" s="4" t="inlineStr">
        <is>
          <t>FY2027 E</t>
        </is>
      </c>
      <c r="I4" s="4" t="inlineStr">
        <is>
          <t>FY2028 E</t>
        </is>
      </c>
    </row>
    <row r="5">
      <c r="B5" s="2" t="inlineStr">
        <is>
          <t>Reported EBITDA</t>
        </is>
      </c>
      <c r="C5" s="12">
        <f>Inputs!C6</f>
        <v/>
      </c>
      <c r="D5" s="12">
        <f>Inputs!D6</f>
        <v/>
      </c>
      <c r="E5" s="12">
        <f>Inputs!E6</f>
        <v/>
      </c>
      <c r="F5" s="12">
        <f>Inputs!F6</f>
        <v/>
      </c>
      <c r="G5" s="12">
        <f>Inputs!G6</f>
        <v/>
      </c>
      <c r="H5" s="12">
        <f>Inputs!H6</f>
        <v/>
      </c>
      <c r="I5" s="12">
        <f>Inputs!I6</f>
        <v/>
      </c>
    </row>
    <row r="6">
      <c r="B6" s="2" t="inlineStr">
        <is>
          <t>Management adjusted EBITDA (adds back restructuring)</t>
        </is>
      </c>
      <c r="C6" s="12">
        <f>Inputs!C6+Inputs!C7</f>
        <v/>
      </c>
      <c r="D6" s="12">
        <f>Inputs!D6+Inputs!D7</f>
        <v/>
      </c>
      <c r="E6" s="12">
        <f>Inputs!E6+Inputs!E7</f>
        <v/>
      </c>
      <c r="F6" s="12">
        <f>Inputs!F6+Inputs!F7</f>
        <v/>
      </c>
      <c r="G6" s="12">
        <f>Inputs!G6+Inputs!G7</f>
        <v/>
      </c>
      <c r="H6" s="12">
        <f>Inputs!H6+Inputs!H7</f>
        <v/>
      </c>
      <c r="I6" s="12">
        <f>Inputs!I6+Inputs!I7</f>
        <v/>
      </c>
    </row>
    <row r="7">
      <c r="B7" s="6" t="inlineStr">
        <is>
          <t>Kestrel Bay adjusted EBITDA</t>
        </is>
      </c>
      <c r="C7" s="13">
        <f>Inputs!C6+Inputs!C8</f>
        <v/>
      </c>
      <c r="D7" s="13">
        <f>Inputs!D6+Inputs!D8</f>
        <v/>
      </c>
      <c r="E7" s="13">
        <f>Inputs!E6+Inputs!E8</f>
        <v/>
      </c>
      <c r="F7" s="13">
        <f>Inputs!F6+Inputs!F8</f>
        <v/>
      </c>
      <c r="G7" s="13">
        <f>Inputs!G6+Inputs!G8</f>
        <v/>
      </c>
      <c r="H7" s="13">
        <f>Inputs!H6+Inputs!H8</f>
        <v/>
      </c>
      <c r="I7" s="13">
        <f>Inputs!I6+Inputs!I8</f>
        <v/>
      </c>
    </row>
    <row r="8">
      <c r="B8" s="2" t="inlineStr">
        <is>
          <t>FFO</t>
        </is>
      </c>
      <c r="C8" s="12">
        <f>C7-Inputs!C9-Inputs!C10</f>
        <v/>
      </c>
      <c r="D8" s="12">
        <f>D7-Inputs!D9-Inputs!D10</f>
        <v/>
      </c>
      <c r="E8" s="12">
        <f>E7-Inputs!E9-Inputs!E10</f>
        <v/>
      </c>
      <c r="F8" s="12">
        <f>F7-Inputs!F9-Inputs!F10</f>
        <v/>
      </c>
      <c r="G8" s="12">
        <f>G7-Inputs!G9-Inputs!G10</f>
        <v/>
      </c>
      <c r="H8" s="12">
        <f>H7-Inputs!H9-Inputs!H10</f>
        <v/>
      </c>
      <c r="I8" s="12">
        <f>I7-Inputs!I9-Inputs!I10</f>
        <v/>
      </c>
    </row>
    <row r="9">
      <c r="B9" s="2" t="inlineStr">
        <is>
          <t>FOCF</t>
        </is>
      </c>
      <c r="C9" s="12">
        <f>C8+Inputs!C11-Inputs!C12</f>
        <v/>
      </c>
      <c r="D9" s="12">
        <f>D8+Inputs!D11-Inputs!D12</f>
        <v/>
      </c>
      <c r="E9" s="12">
        <f>E8+Inputs!E11-Inputs!E12</f>
        <v/>
      </c>
      <c r="F9" s="12">
        <f>F8+Inputs!F11-Inputs!F12</f>
        <v/>
      </c>
      <c r="G9" s="12">
        <f>G8+Inputs!G11-Inputs!G12</f>
        <v/>
      </c>
      <c r="H9" s="12">
        <f>H8+Inputs!H11-Inputs!H12</f>
        <v/>
      </c>
      <c r="I9" s="12">
        <f>I8+Inputs!I11-Inputs!I12</f>
        <v/>
      </c>
    </row>
    <row r="10">
      <c r="B10" s="6" t="inlineStr">
        <is>
          <t>DCF</t>
        </is>
      </c>
      <c r="C10" s="13">
        <f>C9-Inputs!C13</f>
        <v/>
      </c>
      <c r="D10" s="13">
        <f>D9-Inputs!D13</f>
        <v/>
      </c>
      <c r="E10" s="13">
        <f>E9-Inputs!E13</f>
        <v/>
      </c>
      <c r="F10" s="13">
        <f>F9-Inputs!F13</f>
        <v/>
      </c>
      <c r="G10" s="13">
        <f>G9-Inputs!G13</f>
        <v/>
      </c>
      <c r="H10" s="13">
        <f>H9-Inputs!H13</f>
        <v/>
      </c>
      <c r="I10" s="13">
        <f>I9-Inputs!I13</f>
        <v/>
      </c>
    </row>
    <row r="11">
      <c r="B11" s="2" t="inlineStr">
        <is>
          <t>Reported debt (follows from the cash flows)</t>
        </is>
      </c>
      <c r="C11" s="12">
        <f>Inputs!$C$20</f>
        <v/>
      </c>
      <c r="D11" s="12">
        <f>C11-(D10-Inputs!D14-(Inputs!D15-Inputs!C15))</f>
        <v/>
      </c>
      <c r="E11" s="12">
        <f>D11-(E10-Inputs!E14-(Inputs!E15-Inputs!D15))</f>
        <v/>
      </c>
      <c r="F11" s="12">
        <f>E11+Inputs!$C$21+Inputs!$C$22-(F10-Inputs!F14-(Inputs!F15-(Inputs!E15-Inputs!$C$23)))</f>
        <v/>
      </c>
      <c r="G11" s="12">
        <f>F11-(G10-Inputs!G14-(Inputs!G15-Inputs!F15))</f>
        <v/>
      </c>
      <c r="H11" s="12">
        <f>G11-(H10-Inputs!H14-(Inputs!H15-Inputs!G15))</f>
        <v/>
      </c>
      <c r="I11" s="12">
        <f>H11-(I10-Inputs!I14-(Inputs!I15-Inputs!H15))</f>
        <v/>
      </c>
    </row>
    <row r="12">
      <c r="B12" s="2" t="inlineStr">
        <is>
          <t>Surplus cash netted</t>
        </is>
      </c>
      <c r="C12" s="12">
        <f>MAX(0,Inputs!C15-Inputs!$C$26)</f>
        <v/>
      </c>
      <c r="D12" s="12">
        <f>MAX(0,Inputs!D15-Inputs!$C$26)</f>
        <v/>
      </c>
      <c r="E12" s="12">
        <f>MAX(0,Inputs!E15-Inputs!$C$26)</f>
        <v/>
      </c>
      <c r="F12" s="12">
        <f>MAX(0,Inputs!F15-Inputs!$C$26)</f>
        <v/>
      </c>
      <c r="G12" s="12">
        <f>MAX(0,Inputs!G15-Inputs!$C$26)</f>
        <v/>
      </c>
      <c r="H12" s="12">
        <f>MAX(0,Inputs!H15-Inputs!$C$26)</f>
        <v/>
      </c>
      <c r="I12" s="12">
        <f>MAX(0,Inputs!I15-Inputs!$C$26)</f>
        <v/>
      </c>
    </row>
    <row r="13">
      <c r="B13" s="6" t="inlineStr">
        <is>
          <t>Kestrel Bay adjusted debt</t>
        </is>
      </c>
      <c r="C13" s="13">
        <f>C11+Inputs!C16+Inputs!C17-C12</f>
        <v/>
      </c>
      <c r="D13" s="13">
        <f>D11+Inputs!D16+Inputs!D17-D12</f>
        <v/>
      </c>
      <c r="E13" s="13">
        <f>E11+Inputs!E16+Inputs!E17-E12</f>
        <v/>
      </c>
      <c r="F13" s="13">
        <f>F11+Inputs!F16+Inputs!F17-F12</f>
        <v/>
      </c>
      <c r="G13" s="13">
        <f>G11+Inputs!G16+Inputs!G17-G12</f>
        <v/>
      </c>
      <c r="H13" s="13">
        <f>H11+Inputs!H16+Inputs!H17-H12</f>
        <v/>
      </c>
      <c r="I13" s="13">
        <f>I11+Inputs!I16+Inputs!I17-I12</f>
        <v/>
      </c>
    </row>
    <row r="14">
      <c r="B14" s="6" t="inlineStr">
        <is>
          <t>Adjusted debt to EBITDA</t>
        </is>
      </c>
      <c r="C14" s="14">
        <f>C13/C7</f>
        <v/>
      </c>
      <c r="D14" s="14">
        <f>D13/D7</f>
        <v/>
      </c>
      <c r="E14" s="14">
        <f>E13/E7</f>
        <v/>
      </c>
      <c r="F14" s="14">
        <f>F13/F7</f>
        <v/>
      </c>
      <c r="G14" s="14">
        <f>G13/G7</f>
        <v/>
      </c>
      <c r="H14" s="14">
        <f>H13/H7</f>
        <v/>
      </c>
      <c r="I14" s="14">
        <f>I13/I7</f>
        <v/>
      </c>
    </row>
    <row r="15">
      <c r="B15" s="6" t="inlineStr">
        <is>
          <t>FFO to debt</t>
        </is>
      </c>
      <c r="C15" s="15">
        <f>C8/C13</f>
        <v/>
      </c>
      <c r="D15" s="15">
        <f>D8/D13</f>
        <v/>
      </c>
      <c r="E15" s="15">
        <f>E8/E13</f>
        <v/>
      </c>
      <c r="F15" s="15">
        <f>F8/F13</f>
        <v/>
      </c>
      <c r="G15" s="15">
        <f>G8/G13</f>
        <v/>
      </c>
      <c r="H15" s="15">
        <f>H8/H13</f>
        <v/>
      </c>
      <c r="I15" s="15">
        <f>I8/I13</f>
        <v/>
      </c>
    </row>
    <row r="16">
      <c r="B16" s="2" t="inlineStr">
        <is>
          <t>EBITDA interest cover</t>
        </is>
      </c>
      <c r="C16" s="16">
        <f>C7/Inputs!C9</f>
        <v/>
      </c>
      <c r="D16" s="16">
        <f>D7/Inputs!D9</f>
        <v/>
      </c>
      <c r="E16" s="16">
        <f>E7/Inputs!E9</f>
        <v/>
      </c>
      <c r="F16" s="16">
        <f>F7/Inputs!F9</f>
        <v/>
      </c>
      <c r="G16" s="16">
        <f>G7/Inputs!G9</f>
        <v/>
      </c>
      <c r="H16" s="16">
        <f>H7/Inputs!H9</f>
        <v/>
      </c>
      <c r="I16" s="16">
        <f>I7/Inputs!I9</f>
        <v/>
      </c>
    </row>
    <row r="17">
      <c r="B17" s="2" t="inlineStr">
        <is>
          <t>Reported EBITDA margin</t>
        </is>
      </c>
      <c r="C17" s="17">
        <f>Inputs!C6/Inputs!C5</f>
        <v/>
      </c>
      <c r="D17" s="17">
        <f>Inputs!D6/Inputs!D5</f>
        <v/>
      </c>
      <c r="E17" s="17">
        <f>Inputs!E6/Inputs!E5</f>
        <v/>
      </c>
      <c r="F17" s="17">
        <f>Inputs!F6/Inputs!F5</f>
        <v/>
      </c>
      <c r="G17" s="17">
        <f>Inputs!G6/Inputs!G5</f>
        <v/>
      </c>
      <c r="H17" s="17">
        <f>Inputs!H6/Inputs!H5</f>
        <v/>
      </c>
      <c r="I17" s="17">
        <f>Inputs!I6/Inputs!I5</f>
        <v/>
      </c>
    </row>
    <row r="18">
      <c r="B18" s="2" t="inlineStr">
        <is>
          <t>Financial risk score (leverage band)</t>
        </is>
      </c>
      <c r="C18" s="10">
        <f>MATCH(C14,Inputs!$C$38:$C$43,1)</f>
        <v/>
      </c>
      <c r="D18" s="10">
        <f>MATCH(D14,Inputs!$C$38:$C$43,1)</f>
        <v/>
      </c>
      <c r="E18" s="10">
        <f>MATCH(E14,Inputs!$C$38:$C$43,1)</f>
        <v/>
      </c>
      <c r="F18" s="10">
        <f>MATCH(F14,Inputs!$C$38:$C$43,1)</f>
        <v/>
      </c>
      <c r="G18" s="10">
        <f>MATCH(G14,Inputs!$C$38:$C$43,1)</f>
        <v/>
      </c>
      <c r="H18" s="10">
        <f>MATCH(H14,Inputs!$C$38:$C$43,1)</f>
        <v/>
      </c>
      <c r="I18" s="10">
        <f>MATCH(I14,Inputs!$C$38:$C$43,1)</f>
        <v/>
      </c>
    </row>
    <row r="20">
      <c r="B20" s="6" t="inlineStr">
        <is>
          <t>Pro forma FY2024 at closing (January 2025 committee)</t>
        </is>
      </c>
    </row>
    <row r="21">
      <c r="B21" s="2" t="inlineStr">
        <is>
          <t>Adjusted EBITDA (Thornvale + target + 2025 lease adjustment)</t>
        </is>
      </c>
      <c r="C21" s="12">
        <f>Inputs!E6+Inputs!$C$24+Inputs!F8</f>
        <v/>
      </c>
    </row>
    <row r="22">
      <c r="B22" s="2" t="inlineStr">
        <is>
          <t>Reported debt</t>
        </is>
      </c>
      <c r="C22" s="12">
        <f>E11+Inputs!$C$21+Inputs!$C$22</f>
        <v/>
      </c>
    </row>
    <row r="23">
      <c r="B23" s="2" t="inlineStr">
        <is>
          <t>Cash</t>
        </is>
      </c>
      <c r="C23" s="12">
        <f>Inputs!E15-Inputs!$C$23</f>
        <v/>
      </c>
    </row>
    <row r="24">
      <c r="B24" s="2" t="inlineStr">
        <is>
          <t>Adjusted debt</t>
        </is>
      </c>
      <c r="C24" s="12">
        <f>C22+Inputs!F16+Inputs!F17-MAX(0,C23-Inputs!$C$26)</f>
        <v/>
      </c>
    </row>
    <row r="25">
      <c r="B25" s="6" t="inlineStr">
        <is>
          <t>Pro forma leverage</t>
        </is>
      </c>
      <c r="C25" s="14">
        <f>C24/C21</f>
        <v/>
      </c>
    </row>
    <row r="26">
      <c r="B26" s="2" t="inlineStr">
        <is>
          <t>Price to target EBITDA</t>
        </is>
      </c>
      <c r="C26" s="16">
        <f>Inputs!$C$25/Inputs!$C$24</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I44"/>
  <sheetViews>
    <sheetView showGridLines="0" workbookViewId="0">
      <selection activeCell="A1" sqref="A1"/>
    </sheetView>
  </sheetViews>
  <sheetFormatPr baseColWidth="8" defaultRowHeight="15"/>
  <cols>
    <col width="2" customWidth="1" min="1" max="1"/>
    <col width="52" customWidth="1" min="2" max="2"/>
    <col width="11" customWidth="1" min="3" max="3"/>
    <col width="11" customWidth="1" min="4" max="4"/>
    <col width="11" customWidth="1" min="5" max="5"/>
    <col width="11" customWidth="1" min="6" max="6"/>
    <col width="11" customWidth="1" min="7" max="7"/>
    <col width="11" customWidth="1" min="8" max="8"/>
    <col width="11" customWidth="1" min="9" max="9"/>
  </cols>
  <sheetData>
    <row r="1" ht="10" customHeight="1"/>
    <row r="2">
      <c r="B2" s="1" t="inlineStr">
        <is>
          <t>Cases: leverage under each forecast</t>
        </is>
      </c>
      <c r="C2" s="3" t="n"/>
      <c r="D2" s="3" t="n"/>
      <c r="E2" s="3" t="n"/>
      <c r="F2" s="3" t="n"/>
      <c r="G2" s="3" t="n"/>
      <c r="H2" s="3" t="n"/>
      <c r="I2" s="3" t="n"/>
    </row>
    <row r="4">
      <c r="B4" s="4" t="inlineStr">
        <is>
          <t>$ million</t>
        </is>
      </c>
      <c r="C4" s="4" t="inlineStr">
        <is>
          <t>FY2022</t>
        </is>
      </c>
      <c r="D4" s="4" t="inlineStr">
        <is>
          <t>FY2023</t>
        </is>
      </c>
      <c r="E4" s="4" t="inlineStr">
        <is>
          <t>FY2024</t>
        </is>
      </c>
      <c r="F4" s="4" t="inlineStr">
        <is>
          <t>FY2025</t>
        </is>
      </c>
      <c r="G4" s="4" t="inlineStr">
        <is>
          <t>FY2026</t>
        </is>
      </c>
      <c r="H4" s="4" t="inlineStr">
        <is>
          <t>FY2027</t>
        </is>
      </c>
      <c r="I4" s="4" t="inlineStr">
        <is>
          <t>FY2028</t>
        </is>
      </c>
    </row>
    <row r="6">
      <c r="B6" s="6" t="inlineStr">
        <is>
          <t>January 2025 base case</t>
        </is>
      </c>
    </row>
    <row r="7">
      <c r="B7" s="2" t="inlineStr">
        <is>
          <t>Reported EBITDA</t>
        </is>
      </c>
      <c r="F7" s="12">
        <f>Inputs!F75</f>
        <v/>
      </c>
      <c r="G7" s="12">
        <f>Inputs!G75</f>
        <v/>
      </c>
      <c r="H7" s="12">
        <f>Inputs!H75</f>
        <v/>
      </c>
      <c r="I7" s="12">
        <f>Inputs!I75</f>
        <v/>
      </c>
    </row>
    <row r="8">
      <c r="B8" s="2" t="inlineStr">
        <is>
          <t>Adjusted EBITDA</t>
        </is>
      </c>
      <c r="F8" s="12">
        <f>F7+Inputs!F8</f>
        <v/>
      </c>
      <c r="G8" s="12">
        <f>G7+Inputs!G8</f>
        <v/>
      </c>
      <c r="H8" s="12">
        <f>H7+Inputs!H8</f>
        <v/>
      </c>
      <c r="I8" s="12">
        <f>I7+Inputs!I8</f>
        <v/>
      </c>
    </row>
    <row r="9">
      <c r="B9" s="2" t="inlineStr">
        <is>
          <t>FFO</t>
        </is>
      </c>
      <c r="F9" s="12">
        <f>F8-Inputs!F9-Inputs!F10</f>
        <v/>
      </c>
      <c r="G9" s="12">
        <f>G8-Inputs!G9-Inputs!G10</f>
        <v/>
      </c>
      <c r="H9" s="12">
        <f>H8-Inputs!H9-Inputs!H10</f>
        <v/>
      </c>
      <c r="I9" s="12">
        <f>I8-Inputs!I9-Inputs!I10</f>
        <v/>
      </c>
    </row>
    <row r="10">
      <c r="B10" s="2" t="inlineStr">
        <is>
          <t>DCF</t>
        </is>
      </c>
      <c r="F10" s="12">
        <f>F9+Inputs!F77-Inputs!F76-Inputs!F13</f>
        <v/>
      </c>
      <c r="G10" s="12">
        <f>G9+Inputs!G77-Inputs!G76-Inputs!G13</f>
        <v/>
      </c>
      <c r="H10" s="12">
        <f>H9+Inputs!H77-Inputs!H76-Inputs!H13</f>
        <v/>
      </c>
      <c r="I10" s="12">
        <f>I9+Inputs!I77-Inputs!I76-Inputs!I13</f>
        <v/>
      </c>
    </row>
    <row r="11">
      <c r="B11" s="2" t="inlineStr">
        <is>
          <t>Reported debt</t>
        </is>
      </c>
      <c r="F11" s="12">
        <f>Metrics!E11+Inputs!$C$21+Inputs!$C$22-(F10-Inputs!F14-(Inputs!F15-(Inputs!E15-Inputs!$C$23)))</f>
        <v/>
      </c>
      <c r="G11" s="12">
        <f>F11-(G10-Inputs!G14-(Inputs!G15-Inputs!F15))</f>
        <v/>
      </c>
      <c r="H11" s="12">
        <f>G11-(H10-Inputs!H14-(Inputs!H15-Inputs!G15))</f>
        <v/>
      </c>
      <c r="I11" s="12">
        <f>H11-(I10-Inputs!I14-(Inputs!I15-Inputs!H15))</f>
        <v/>
      </c>
    </row>
    <row r="12">
      <c r="B12" s="2" t="inlineStr">
        <is>
          <t>Adjusted debt</t>
        </is>
      </c>
      <c r="F12" s="12">
        <f>F11+Inputs!F16+Inputs!F17-MAX(0,Inputs!F15-Inputs!$C$26)</f>
        <v/>
      </c>
      <c r="G12" s="12">
        <f>G11+Inputs!G16+Inputs!G17-MAX(0,Inputs!G15-Inputs!$C$26)</f>
        <v/>
      </c>
      <c r="H12" s="12">
        <f>H11+Inputs!H16+Inputs!H17-MAX(0,Inputs!H15-Inputs!$C$26)</f>
        <v/>
      </c>
      <c r="I12" s="12">
        <f>I11+Inputs!I16+Inputs!I17-MAX(0,Inputs!I15-Inputs!$C$26)</f>
        <v/>
      </c>
    </row>
    <row r="13">
      <c r="B13" s="6" t="inlineStr">
        <is>
          <t>Adjusted debt to EBITDA</t>
        </is>
      </c>
      <c r="F13" s="14">
        <f>F12/F8</f>
        <v/>
      </c>
      <c r="G13" s="14">
        <f>G12/G8</f>
        <v/>
      </c>
      <c r="H13" s="14">
        <f>H12/H8</f>
        <v/>
      </c>
      <c r="I13" s="14">
        <f>I12/I8</f>
        <v/>
      </c>
    </row>
    <row r="14">
      <c r="B14" s="2" t="inlineStr">
        <is>
          <t>FFO to debt</t>
        </is>
      </c>
      <c r="F14" s="17">
        <f>F9/F12</f>
        <v/>
      </c>
      <c r="G14" s="17">
        <f>G9/G12</f>
        <v/>
      </c>
      <c r="H14" s="17">
        <f>H9/H12</f>
        <v/>
      </c>
      <c r="I14" s="17">
        <f>I9/I12</f>
        <v/>
      </c>
    </row>
    <row r="16">
      <c r="B16" s="6" t="inlineStr">
        <is>
          <t>November 2025 base case</t>
        </is>
      </c>
    </row>
    <row r="17">
      <c r="B17" s="2" t="inlineStr">
        <is>
          <t>Reported EBITDA</t>
        </is>
      </c>
      <c r="F17" s="12">
        <f>Inputs!F78</f>
        <v/>
      </c>
      <c r="G17" s="12">
        <f>Inputs!G78</f>
        <v/>
      </c>
      <c r="H17" s="12">
        <f>Inputs!H78</f>
        <v/>
      </c>
      <c r="I17" s="12">
        <f>Inputs!I78</f>
        <v/>
      </c>
    </row>
    <row r="18">
      <c r="B18" s="2" t="inlineStr">
        <is>
          <t>Adjusted EBITDA</t>
        </is>
      </c>
      <c r="F18" s="12">
        <f>F17+Inputs!F8</f>
        <v/>
      </c>
      <c r="G18" s="12">
        <f>G17+Inputs!G8</f>
        <v/>
      </c>
      <c r="H18" s="12">
        <f>H17+Inputs!H8</f>
        <v/>
      </c>
      <c r="I18" s="12">
        <f>I17+Inputs!I8</f>
        <v/>
      </c>
    </row>
    <row r="19">
      <c r="B19" s="2" t="inlineStr">
        <is>
          <t>FFO</t>
        </is>
      </c>
      <c r="F19" s="12">
        <f>F18-Inputs!F9-Inputs!F10</f>
        <v/>
      </c>
      <c r="G19" s="12">
        <f>G18-Inputs!G9-Inputs!G10</f>
        <v/>
      </c>
      <c r="H19" s="12">
        <f>H18-Inputs!H9-Inputs!H10</f>
        <v/>
      </c>
      <c r="I19" s="12">
        <f>I18-Inputs!I9-Inputs!I10</f>
        <v/>
      </c>
    </row>
    <row r="20">
      <c r="B20" s="2" t="inlineStr">
        <is>
          <t>DCF</t>
        </is>
      </c>
      <c r="F20" s="12">
        <f>F19+Inputs!F80-Inputs!F79-Inputs!F13</f>
        <v/>
      </c>
      <c r="G20" s="12">
        <f>G19+Inputs!G80-Inputs!G79-Inputs!G13</f>
        <v/>
      </c>
      <c r="H20" s="12">
        <f>H19+Inputs!H80-Inputs!H79-Inputs!H13</f>
        <v/>
      </c>
      <c r="I20" s="12">
        <f>I19+Inputs!I80-Inputs!I79-Inputs!I13</f>
        <v/>
      </c>
    </row>
    <row r="21">
      <c r="B21" s="2" t="inlineStr">
        <is>
          <t>Reported debt</t>
        </is>
      </c>
      <c r="F21" s="12">
        <f>Metrics!E11+Inputs!$C$21+Inputs!$C$22-(F20-Inputs!F14-(Inputs!F15-(Inputs!E15-Inputs!$C$23)))</f>
        <v/>
      </c>
      <c r="G21" s="12">
        <f>F21-(G20-Inputs!G14-(Inputs!G15-Inputs!F15))</f>
        <v/>
      </c>
      <c r="H21" s="12">
        <f>G21-(H20-Inputs!H14-(Inputs!H15-Inputs!G15))</f>
        <v/>
      </c>
      <c r="I21" s="12">
        <f>H21-(I20-Inputs!I14-(Inputs!I15-Inputs!H15))</f>
        <v/>
      </c>
    </row>
    <row r="22">
      <c r="B22" s="2" t="inlineStr">
        <is>
          <t>Adjusted debt</t>
        </is>
      </c>
      <c r="F22" s="12">
        <f>F21+Inputs!F16+Inputs!F17-MAX(0,Inputs!F15-Inputs!$C$26)</f>
        <v/>
      </c>
      <c r="G22" s="12">
        <f>G21+Inputs!G16+Inputs!G17-MAX(0,Inputs!G15-Inputs!$C$26)</f>
        <v/>
      </c>
      <c r="H22" s="12">
        <f>H21+Inputs!H16+Inputs!H17-MAX(0,Inputs!H15-Inputs!$C$26)</f>
        <v/>
      </c>
      <c r="I22" s="12">
        <f>I21+Inputs!I16+Inputs!I17-MAX(0,Inputs!I15-Inputs!$C$26)</f>
        <v/>
      </c>
    </row>
    <row r="23">
      <c r="B23" s="6" t="inlineStr">
        <is>
          <t>Adjusted debt to EBITDA</t>
        </is>
      </c>
      <c r="F23" s="14">
        <f>F22/F18</f>
        <v/>
      </c>
      <c r="G23" s="14">
        <f>G22/G18</f>
        <v/>
      </c>
      <c r="H23" s="14">
        <f>H22/H18</f>
        <v/>
      </c>
      <c r="I23" s="14">
        <f>I22/I18</f>
        <v/>
      </c>
    </row>
    <row r="24">
      <c r="B24" s="2" t="inlineStr">
        <is>
          <t>FFO to debt</t>
        </is>
      </c>
      <c r="F24" s="17">
        <f>F19/F22</f>
        <v/>
      </c>
      <c r="G24" s="17">
        <f>G19/G22</f>
        <v/>
      </c>
      <c r="H24" s="17">
        <f>H19/H22</f>
        <v/>
      </c>
      <c r="I24" s="17">
        <f>I19/I22</f>
        <v/>
      </c>
    </row>
    <row r="26">
      <c r="B26" s="6" t="inlineStr">
        <is>
          <t>Management plan, May 2026</t>
        </is>
      </c>
    </row>
    <row r="27">
      <c r="B27" s="2" t="inlineStr">
        <is>
          <t>Reported EBITDA</t>
        </is>
      </c>
      <c r="G27" s="12">
        <f>Inputs!G81</f>
        <v/>
      </c>
      <c r="H27" s="12">
        <f>Inputs!H81</f>
        <v/>
      </c>
      <c r="I27" s="12">
        <f>Inputs!I81</f>
        <v/>
      </c>
    </row>
    <row r="28">
      <c r="B28" s="2" t="inlineStr">
        <is>
          <t>Adjusted EBITDA</t>
        </is>
      </c>
      <c r="G28" s="12">
        <f>G27+Inputs!G8</f>
        <v/>
      </c>
      <c r="H28" s="12">
        <f>H27+Inputs!H8</f>
        <v/>
      </c>
      <c r="I28" s="12">
        <f>I27+Inputs!I8</f>
        <v/>
      </c>
    </row>
    <row r="29">
      <c r="B29" s="2" t="inlineStr">
        <is>
          <t>FFO</t>
        </is>
      </c>
      <c r="G29" s="12">
        <f>G28-Inputs!G9-Inputs!G10</f>
        <v/>
      </c>
      <c r="H29" s="12">
        <f>H28-Inputs!H9-Inputs!H10</f>
        <v/>
      </c>
      <c r="I29" s="12">
        <f>I28-Inputs!I9-Inputs!I10</f>
        <v/>
      </c>
    </row>
    <row r="30">
      <c r="B30" s="2" t="inlineStr">
        <is>
          <t>DCF</t>
        </is>
      </c>
      <c r="G30" s="12">
        <f>G29+Inputs!G83-Inputs!G82-Inputs!G13</f>
        <v/>
      </c>
      <c r="H30" s="12">
        <f>H29+Inputs!H83-Inputs!H82-Inputs!H13</f>
        <v/>
      </c>
      <c r="I30" s="12">
        <f>I29+Inputs!I83-Inputs!I82-Inputs!I13</f>
        <v/>
      </c>
    </row>
    <row r="31">
      <c r="B31" s="2" t="inlineStr">
        <is>
          <t>Reported debt</t>
        </is>
      </c>
      <c r="G31" s="12">
        <f>Metrics!F11-(G30-Inputs!G14-(Inputs!G15-Inputs!F15))</f>
        <v/>
      </c>
      <c r="H31" s="12">
        <f>G31-(H30-Inputs!H14-(Inputs!H15-Inputs!G15))</f>
        <v/>
      </c>
      <c r="I31" s="12">
        <f>H31-(I30-Inputs!I14-(Inputs!I15-Inputs!H15))</f>
        <v/>
      </c>
    </row>
    <row r="32">
      <c r="B32" s="2" t="inlineStr">
        <is>
          <t>Adjusted debt</t>
        </is>
      </c>
      <c r="G32" s="12">
        <f>G31+Inputs!G16+Inputs!G17-MAX(0,Inputs!G15-Inputs!$C$26)</f>
        <v/>
      </c>
      <c r="H32" s="12">
        <f>H31+Inputs!H16+Inputs!H17-MAX(0,Inputs!H15-Inputs!$C$26)</f>
        <v/>
      </c>
      <c r="I32" s="12">
        <f>I31+Inputs!I16+Inputs!I17-MAX(0,Inputs!I15-Inputs!$C$26)</f>
        <v/>
      </c>
    </row>
    <row r="33">
      <c r="B33" s="6" t="inlineStr">
        <is>
          <t>Adjusted debt to EBITDA</t>
        </is>
      </c>
      <c r="G33" s="14">
        <f>G32/G28</f>
        <v/>
      </c>
      <c r="H33" s="14">
        <f>H32/H28</f>
        <v/>
      </c>
      <c r="I33" s="14">
        <f>I32/I28</f>
        <v/>
      </c>
    </row>
    <row r="34">
      <c r="B34" s="2" t="inlineStr">
        <is>
          <t>FFO to debt</t>
        </is>
      </c>
      <c r="G34" s="17">
        <f>G29/G32</f>
        <v/>
      </c>
      <c r="H34" s="17">
        <f>H29/H32</f>
        <v/>
      </c>
      <c r="I34" s="17">
        <f>I29/I32</f>
        <v/>
      </c>
    </row>
    <row r="36">
      <c r="B36" s="6" t="inlineStr">
        <is>
          <t>Kestrel Bay downside, May 2026</t>
        </is>
      </c>
    </row>
    <row r="37">
      <c r="B37" s="2" t="inlineStr">
        <is>
          <t>Reported EBITDA</t>
        </is>
      </c>
      <c r="G37" s="12">
        <f>Inputs!G84</f>
        <v/>
      </c>
      <c r="H37" s="12">
        <f>Inputs!H84</f>
        <v/>
      </c>
      <c r="I37" s="12">
        <f>Inputs!I84</f>
        <v/>
      </c>
    </row>
    <row r="38">
      <c r="B38" s="2" t="inlineStr">
        <is>
          <t>Adjusted EBITDA</t>
        </is>
      </c>
      <c r="G38" s="12">
        <f>G37+Inputs!G8</f>
        <v/>
      </c>
      <c r="H38" s="12">
        <f>H37+Inputs!H8</f>
        <v/>
      </c>
      <c r="I38" s="12">
        <f>I37+Inputs!I8</f>
        <v/>
      </c>
    </row>
    <row r="39">
      <c r="B39" s="2" t="inlineStr">
        <is>
          <t>FFO</t>
        </is>
      </c>
      <c r="G39" s="12">
        <f>G38-Inputs!G9-Inputs!G10</f>
        <v/>
      </c>
      <c r="H39" s="12">
        <f>H38-Inputs!H9-Inputs!H10</f>
        <v/>
      </c>
      <c r="I39" s="12">
        <f>I38-Inputs!I9-Inputs!I10</f>
        <v/>
      </c>
    </row>
    <row r="40">
      <c r="B40" s="2" t="inlineStr">
        <is>
          <t>DCF</t>
        </is>
      </c>
      <c r="G40" s="12">
        <f>G39+Inputs!G86-Inputs!G85-Inputs!G13</f>
        <v/>
      </c>
      <c r="H40" s="12">
        <f>H39+Inputs!H86-Inputs!H85-Inputs!H13</f>
        <v/>
      </c>
      <c r="I40" s="12">
        <f>I39+Inputs!I86-Inputs!I85-Inputs!I13</f>
        <v/>
      </c>
    </row>
    <row r="41">
      <c r="B41" s="2" t="inlineStr">
        <is>
          <t>Reported debt</t>
        </is>
      </c>
      <c r="G41" s="12">
        <f>Metrics!F11-(G40-Inputs!G14-(Inputs!G15-Inputs!F15))</f>
        <v/>
      </c>
      <c r="H41" s="12">
        <f>G41-(H40-Inputs!H14-(Inputs!H15-Inputs!G15))</f>
        <v/>
      </c>
      <c r="I41" s="12">
        <f>H41-(I40-Inputs!I14-(Inputs!I15-Inputs!H15))</f>
        <v/>
      </c>
    </row>
    <row r="42">
      <c r="B42" s="2" t="inlineStr">
        <is>
          <t>Adjusted debt</t>
        </is>
      </c>
      <c r="G42" s="12">
        <f>G41+Inputs!G16+Inputs!G17-MAX(0,Inputs!G15-Inputs!$C$26)</f>
        <v/>
      </c>
      <c r="H42" s="12">
        <f>H41+Inputs!H16+Inputs!H17-MAX(0,Inputs!H15-Inputs!$C$26)</f>
        <v/>
      </c>
      <c r="I42" s="12">
        <f>I41+Inputs!I16+Inputs!I17-MAX(0,Inputs!I15-Inputs!$C$26)</f>
        <v/>
      </c>
    </row>
    <row r="43">
      <c r="B43" s="6" t="inlineStr">
        <is>
          <t>Adjusted debt to EBITDA</t>
        </is>
      </c>
      <c r="G43" s="14">
        <f>G42/G38</f>
        <v/>
      </c>
      <c r="H43" s="14">
        <f>H42/H38</f>
        <v/>
      </c>
      <c r="I43" s="14">
        <f>I42/I38</f>
        <v/>
      </c>
    </row>
    <row r="44">
      <c r="B44" s="2" t="inlineStr">
        <is>
          <t>FFO to debt</t>
        </is>
      </c>
      <c r="G44" s="17">
        <f>G39/G42</f>
        <v/>
      </c>
      <c r="H44" s="17">
        <f>H39/H42</f>
        <v/>
      </c>
      <c r="I44" s="17">
        <f>I39/I42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B2:E22"/>
  <sheetViews>
    <sheetView showGridLines="0" workbookViewId="0">
      <selection activeCell="A1" sqref="A1"/>
    </sheetView>
  </sheetViews>
  <sheetFormatPr baseColWidth="8" defaultRowHeight="15"/>
  <cols>
    <col width="2" customWidth="1" min="1" max="1"/>
    <col width="52" customWidth="1" min="2" max="2"/>
    <col width="18" customWidth="1" min="3" max="3"/>
    <col width="18" customWidth="1" min="4" max="4"/>
    <col width="18" customWidth="1" min="5" max="5"/>
  </cols>
  <sheetData>
    <row r="1" ht="10" customHeight="1"/>
    <row r="2">
      <c r="B2" s="1" t="inlineStr">
        <is>
          <t>Scorecard: from leverage to the ratings</t>
        </is>
      </c>
      <c r="C2" s="3" t="n"/>
      <c r="D2" s="3" t="n"/>
      <c r="E2" s="3" t="n"/>
    </row>
    <row r="4">
      <c r="B4" s="4" t="inlineStr">
        <is>
          <t>Committee</t>
        </is>
      </c>
      <c r="C4" s="4" t="inlineStr">
        <is>
          <t>March 2023</t>
        </is>
      </c>
      <c r="D4" s="4" t="inlineStr">
        <is>
          <t>January 2025</t>
        </is>
      </c>
      <c r="E4" s="4" t="inlineStr">
        <is>
          <t>May 2026</t>
        </is>
      </c>
    </row>
    <row r="5">
      <c r="B5" s="2" t="inlineStr">
        <is>
          <t>Year 1 of the weighted view</t>
        </is>
      </c>
      <c r="C5" s="18">
        <f>Metrics!C14</f>
        <v/>
      </c>
      <c r="D5" s="18">
        <f>Metrics!$C$25</f>
        <v/>
      </c>
      <c r="E5" s="18">
        <f>Metrics!F14</f>
        <v/>
      </c>
    </row>
    <row r="6">
      <c r="B6" s="2" t="inlineStr">
        <is>
          <t>Year 2</t>
        </is>
      </c>
      <c r="C6" s="18">
        <f>Metrics!D14</f>
        <v/>
      </c>
      <c r="D6" s="18">
        <f>Cases!F13</f>
        <v/>
      </c>
      <c r="E6" s="18">
        <f>Metrics!G14</f>
        <v/>
      </c>
    </row>
    <row r="7">
      <c r="B7" s="2" t="inlineStr">
        <is>
          <t>Year 3</t>
        </is>
      </c>
      <c r="D7" s="18">
        <f>Cases!G13</f>
        <v/>
      </c>
      <c r="E7" s="18">
        <f>Metrics!H14</f>
        <v/>
      </c>
    </row>
    <row r="8" ht="54" customHeight="1">
      <c r="B8" s="2" t="inlineStr">
        <is>
          <t>Years used</t>
        </is>
      </c>
      <c r="C8" s="19" t="inlineStr">
        <is>
          <t>FY2022 actual / FY2023 (the forecast of the time, here the actual)</t>
        </is>
      </c>
      <c r="D8" s="19" t="inlineStr">
        <is>
          <t>FY2024 pro forma / FY2025 and FY2026 January 2025 base case</t>
        </is>
      </c>
      <c r="E8" s="19" t="inlineStr">
        <is>
          <t>FY2025 actual / FY2026 and FY2027 May 2026 base case</t>
        </is>
      </c>
    </row>
    <row r="9">
      <c r="B9" s="6" t="inlineStr">
        <is>
          <t>Weighted leverage (equal weights)</t>
        </is>
      </c>
      <c r="C9" s="20">
        <f>AVERAGE(C5:C7)</f>
        <v/>
      </c>
      <c r="D9" s="20">
        <f>AVERAGE(D5:D7)</f>
        <v/>
      </c>
      <c r="E9" s="20">
        <f>AVERAGE(E5:E7)</f>
        <v/>
      </c>
    </row>
    <row r="10">
      <c r="B10" s="2" t="inlineStr">
        <is>
          <t>Financial risk score</t>
        </is>
      </c>
      <c r="C10" s="10">
        <f>MATCH(C9,Inputs!$C$38:$C$43,1)</f>
        <v/>
      </c>
      <c r="D10" s="10">
        <f>MATCH(D9,Inputs!$C$38:$C$43,1)</f>
        <v/>
      </c>
      <c r="E10" s="10">
        <f>MATCH(E9,Inputs!$C$38:$C$43,1)</f>
        <v/>
      </c>
    </row>
    <row r="11">
      <c r="B11" s="2" t="inlineStr">
        <is>
          <t>Business risk score</t>
        </is>
      </c>
      <c r="C11" s="10">
        <f>Inputs!$C$27</f>
        <v/>
      </c>
      <c r="D11" s="10">
        <f>Inputs!$C$27</f>
        <v/>
      </c>
      <c r="E11" s="10">
        <f>Inputs!$C$27</f>
        <v/>
      </c>
    </row>
    <row r="12">
      <c r="B12" s="6" t="inlineStr">
        <is>
          <t>Anchor (from the matrix)</t>
        </is>
      </c>
      <c r="C12" s="6">
        <f>INDEX(Inputs!$C$47:$H$52,C11,C10)</f>
        <v/>
      </c>
      <c r="D12" s="6">
        <f>INDEX(Inputs!$C$47:$H$52,D11,D10)</f>
        <v/>
      </c>
      <c r="E12" s="6">
        <f>INDEX(Inputs!$C$47:$H$52,E11,E10)</f>
        <v/>
      </c>
    </row>
    <row r="13">
      <c r="B13" s="2" t="inlineStr">
        <is>
          <t>Modifiers, total notches (+ up, - down; your input)</t>
        </is>
      </c>
      <c r="C13" s="7" t="n">
        <v>0</v>
      </c>
      <c r="D13" s="7" t="n">
        <v>-1</v>
      </c>
      <c r="E13" s="7" t="n">
        <v>0</v>
      </c>
    </row>
    <row r="14">
      <c r="B14" s="21" t="inlineStr">
        <is>
          <t>Issuer rating</t>
        </is>
      </c>
      <c r="C14" s="21">
        <f>UPPER(INDEX(Inputs!$B$55:$B$71,MATCH(C12,Inputs!$B$55:$B$71,0)-C13))</f>
        <v/>
      </c>
      <c r="D14" s="21">
        <f>UPPER(INDEX(Inputs!$B$55:$B$71,MATCH(D12,Inputs!$B$55:$B$71,0)-D13))</f>
        <v/>
      </c>
      <c r="E14" s="21">
        <f>UPPER(INDEX(Inputs!$B$55:$B$71,MATCH(E12,Inputs!$B$55:$B$71,0)-E13))</f>
        <v/>
      </c>
    </row>
    <row r="15">
      <c r="B15" s="2" t="inlineStr">
        <is>
          <t>Investment grade?</t>
        </is>
      </c>
      <c r="C15" s="2">
        <f>IF(MATCH(LOWER(C14),Inputs!$B$55:$B$71,0)&lt;=10,"Yes","No")</f>
        <v/>
      </c>
      <c r="D15" s="2">
        <f>IF(MATCH(LOWER(D14),Inputs!$B$55:$B$71,0)&lt;=10,"Yes","No")</f>
        <v/>
      </c>
      <c r="E15" s="2">
        <f>IF(MATCH(LOWER(E14),Inputs!$B$55:$B$71,0)&lt;=10,"Yes","No")</f>
        <v/>
      </c>
    </row>
    <row r="16">
      <c r="B16" s="2" t="inlineStr">
        <is>
          <t>Priority (secured) debt share of reported debt at closing</t>
        </is>
      </c>
      <c r="C16" s="17" t="n">
        <v>0</v>
      </c>
      <c r="D16" s="17">
        <f>Inputs!$C$22/Metrics!$C$22</f>
        <v/>
      </c>
      <c r="E16" s="17">
        <f>Inputs!$C$22/Metrics!$C$22</f>
        <v/>
      </c>
    </row>
    <row r="17">
      <c r="B17" s="2" t="inlineStr">
        <is>
          <t>Secured term loan rating</t>
        </is>
      </c>
      <c r="C17" s="2" t="inlineStr">
        <is>
          <t>no secured debt</t>
        </is>
      </c>
      <c r="D17" s="2">
        <f>IF(D15="Yes",D14,UPPER(INDEX(Inputs!$B$55:$B$71,MATCH(LOWER(D14),Inputs!$B$55:$B$71,0)-1)))</f>
        <v/>
      </c>
      <c r="E17" s="2">
        <f>IF(E15="Yes",E14,UPPER(INDEX(Inputs!$B$55:$B$71,MATCH(LOWER(E14),Inputs!$B$55:$B$71,0)-1)))</f>
        <v/>
      </c>
    </row>
    <row r="18">
      <c r="B18" s="2" t="inlineStr">
        <is>
          <t>Unsecured notes rating</t>
        </is>
      </c>
      <c r="C18" s="2">
        <f>IF(OR(C15="Yes",C16&lt;=Inputs!$C$34),C14,UPPER(INDEX(Inputs!$B$55:$B$71,MATCH(LOWER(C14),Inputs!$B$55:$B$71,0)+1)))</f>
        <v/>
      </c>
      <c r="D18" s="2">
        <f>IF(OR(D15="Yes",D16&lt;=Inputs!$C$34),D14,UPPER(INDEX(Inputs!$B$55:$B$71,MATCH(LOWER(D14),Inputs!$B$55:$B$71,0)+1)))</f>
        <v/>
      </c>
      <c r="E18" s="2">
        <f>IF(OR(E15="Yes",E16&lt;=Inputs!$C$34),E14,UPPER(INDEX(Inputs!$B$55:$B$71,MATCH(LOWER(E14),Inputs!$B$55:$B$71,0)+1)))</f>
        <v/>
      </c>
    </row>
    <row r="20">
      <c r="B20" s="2" t="inlineStr">
        <is>
          <t>The financial risk score uses the leverage bands on Inputs; FFO to debt is the supplementary ratio the committee reads beside it (Metrics).</t>
        </is>
      </c>
    </row>
    <row r="21">
      <c r="B21" s="2" t="inlineStr">
        <is>
          <t>Kestrel Bay's rules: no notching for investment-grade issuers; for speculative grade, secured debt with strong recovery one notch up,</t>
        </is>
      </c>
    </row>
    <row r="22">
      <c r="B22" s="2" t="inlineStr">
        <is>
          <t>unsecured debt one notch down only when priority debt exceeds the threshold on Inputs. A committee may depart from the scorecard and must say why.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B2:I14"/>
  <sheetViews>
    <sheetView showGridLines="0" workbookViewId="0">
      <selection activeCell="A1" sqref="A1"/>
    </sheetView>
  </sheetViews>
  <sheetFormatPr baseColWidth="8" defaultRowHeight="15"/>
  <cols>
    <col width="2" customWidth="1" min="1" max="1"/>
    <col width="52" customWidth="1" min="2" max="2"/>
    <col width="11" customWidth="1" min="3" max="3"/>
    <col width="11" customWidth="1" min="4" max="4"/>
    <col width="11" customWidth="1" min="5" max="5"/>
    <col width="11" customWidth="1" min="6" max="6"/>
    <col width="11" customWidth="1" min="7" max="7"/>
    <col width="11" customWidth="1" min="8" max="8"/>
    <col width="11" customWidth="1" min="9" max="9"/>
  </cols>
  <sheetData>
    <row r="1" ht="10" customHeight="1"/>
    <row r="2">
      <c r="B2" s="1" t="inlineStr">
        <is>
          <t>Triggers: the surveillance dashboard</t>
        </is>
      </c>
      <c r="C2" s="3" t="n"/>
      <c r="D2" s="3" t="n"/>
      <c r="E2" s="3" t="n"/>
      <c r="F2" s="3" t="n"/>
      <c r="G2" s="3" t="n"/>
      <c r="H2" s="3" t="n"/>
      <c r="I2" s="3" t="n"/>
    </row>
    <row r="4">
      <c r="B4" s="4" t="inlineStr">
        <is>
          <t>Actuals and May 2026 base case</t>
        </is>
      </c>
      <c r="C4" s="4" t="inlineStr">
        <is>
          <t>FY2022</t>
        </is>
      </c>
      <c r="D4" s="4" t="inlineStr">
        <is>
          <t>FY2023</t>
        </is>
      </c>
      <c r="E4" s="4" t="inlineStr">
        <is>
          <t>FY2024</t>
        </is>
      </c>
      <c r="F4" s="4" t="inlineStr">
        <is>
          <t>FY2025</t>
        </is>
      </c>
      <c r="G4" s="4" t="inlineStr">
        <is>
          <t>FY2026</t>
        </is>
      </c>
      <c r="H4" s="4" t="inlineStr">
        <is>
          <t>FY2027</t>
        </is>
      </c>
      <c r="I4" s="4" t="inlineStr">
        <is>
          <t>FY2028</t>
        </is>
      </c>
    </row>
    <row r="5">
      <c r="B5" s="6" t="inlineStr">
        <is>
          <t>Adjusted debt to EBITDA</t>
        </is>
      </c>
      <c r="C5" s="14">
        <f>Metrics!C14</f>
        <v/>
      </c>
      <c r="D5" s="14">
        <f>Metrics!D14</f>
        <v/>
      </c>
      <c r="E5" s="14">
        <f>Metrics!E14</f>
        <v/>
      </c>
      <c r="F5" s="14">
        <f>Metrics!F14</f>
        <v/>
      </c>
      <c r="G5" s="14">
        <f>Metrics!G14</f>
        <v/>
      </c>
      <c r="H5" s="14">
        <f>Metrics!H14</f>
        <v/>
      </c>
      <c r="I5" s="14">
        <f>Metrics!I14</f>
        <v/>
      </c>
    </row>
    <row r="6">
      <c r="B6" s="6" t="inlineStr">
        <is>
          <t>FFO to debt</t>
        </is>
      </c>
      <c r="C6" s="15">
        <f>Metrics!C15</f>
        <v/>
      </c>
      <c r="D6" s="15">
        <f>Metrics!D15</f>
        <v/>
      </c>
      <c r="E6" s="15">
        <f>Metrics!E15</f>
        <v/>
      </c>
      <c r="F6" s="15">
        <f>Metrics!F15</f>
        <v/>
      </c>
      <c r="G6" s="15">
        <f>Metrics!G15</f>
        <v/>
      </c>
      <c r="H6" s="15">
        <f>Metrics!H15</f>
        <v/>
      </c>
      <c r="I6" s="15">
        <f>Metrics!I15</f>
        <v/>
      </c>
    </row>
    <row r="7">
      <c r="B7" s="2" t="inlineStr">
        <is>
          <t>January 2025: leverage above the downgrade trigger?</t>
        </is>
      </c>
      <c r="C7" s="2">
        <f>IF(C5&gt;Inputs!$C$28,"ABOVE","ok")</f>
        <v/>
      </c>
      <c r="D7" s="2">
        <f>IF(D5&gt;Inputs!$C$28,"ABOVE","ok")</f>
        <v/>
      </c>
      <c r="E7" s="2">
        <f>IF(E5&gt;Inputs!$C$28,"ABOVE","ok")</f>
        <v/>
      </c>
      <c r="F7" s="2">
        <f>IF(F5&gt;Inputs!$C$28,"ABOVE","ok")</f>
        <v/>
      </c>
      <c r="G7" s="2">
        <f>IF(G5&gt;Inputs!$C$28,"ABOVE","ok")</f>
        <v/>
      </c>
      <c r="H7" s="2">
        <f>IF(H5&gt;Inputs!$C$28,"ABOVE","ok")</f>
        <v/>
      </c>
      <c r="I7" s="2">
        <f>IF(I5&gt;Inputs!$C$28,"ABOVE","ok")</f>
        <v/>
      </c>
    </row>
    <row r="8">
      <c r="B8" s="2" t="inlineStr">
        <is>
          <t>January 2025: FFO to debt below its trigger?</t>
        </is>
      </c>
      <c r="C8" s="2">
        <f>IF(C6&lt;Inputs!$C$29,"BELOW","ok")</f>
        <v/>
      </c>
      <c r="D8" s="2">
        <f>IF(D6&lt;Inputs!$C$29,"BELOW","ok")</f>
        <v/>
      </c>
      <c r="E8" s="2">
        <f>IF(E6&lt;Inputs!$C$29,"BELOW","ok")</f>
        <v/>
      </c>
      <c r="F8" s="2">
        <f>IF(F6&lt;Inputs!$C$29,"BELOW","ok")</f>
        <v/>
      </c>
      <c r="G8" s="2">
        <f>IF(G6&lt;Inputs!$C$29,"BELOW","ok")</f>
        <v/>
      </c>
      <c r="H8" s="2">
        <f>IF(H6&lt;Inputs!$C$29,"BELOW","ok")</f>
        <v/>
      </c>
      <c r="I8" s="2">
        <f>IF(I6&lt;Inputs!$C$29,"BELOW","ok")</f>
        <v/>
      </c>
    </row>
    <row r="9">
      <c r="B9" s="2" t="inlineStr">
        <is>
          <t>January 2025: leverage below the upgrade trigger?</t>
        </is>
      </c>
      <c r="C9" s="2">
        <f>IF(C5&lt;Inputs!$C$30,"YES","no")</f>
        <v/>
      </c>
      <c r="D9" s="2">
        <f>IF(D5&lt;Inputs!$C$30,"YES","no")</f>
        <v/>
      </c>
      <c r="E9" s="2">
        <f>IF(E5&lt;Inputs!$C$30,"YES","no")</f>
        <v/>
      </c>
      <c r="F9" s="2">
        <f>IF(F5&lt;Inputs!$C$30,"YES","no")</f>
        <v/>
      </c>
      <c r="G9" s="2">
        <f>IF(G5&lt;Inputs!$C$30,"YES","no")</f>
        <v/>
      </c>
      <c r="H9" s="2">
        <f>IF(H5&lt;Inputs!$C$30,"YES","no")</f>
        <v/>
      </c>
      <c r="I9" s="2">
        <f>IF(I5&lt;Inputs!$C$30,"YES","no")</f>
        <v/>
      </c>
    </row>
    <row r="10">
      <c r="B10" s="2" t="inlineStr">
        <is>
          <t>May 2026: leverage above the downgrade trigger?</t>
        </is>
      </c>
      <c r="C10" s="2">
        <f>IF(C5&gt;Inputs!$C$31,"ABOVE","ok")</f>
        <v/>
      </c>
      <c r="D10" s="2">
        <f>IF(D5&gt;Inputs!$C$31,"ABOVE","ok")</f>
        <v/>
      </c>
      <c r="E10" s="2">
        <f>IF(E5&gt;Inputs!$C$31,"ABOVE","ok")</f>
        <v/>
      </c>
      <c r="F10" s="2">
        <f>IF(F5&gt;Inputs!$C$31,"ABOVE","ok")</f>
        <v/>
      </c>
      <c r="G10" s="2">
        <f>IF(G5&gt;Inputs!$C$31,"ABOVE","ok")</f>
        <v/>
      </c>
      <c r="H10" s="2">
        <f>IF(H5&gt;Inputs!$C$31,"ABOVE","ok")</f>
        <v/>
      </c>
      <c r="I10" s="2">
        <f>IF(I5&gt;Inputs!$C$31,"ABOVE","ok")</f>
        <v/>
      </c>
    </row>
    <row r="11">
      <c r="B11" s="2" t="inlineStr">
        <is>
          <t>May 2026: FFO to debt below its trigger?</t>
        </is>
      </c>
      <c r="C11" s="2">
        <f>IF(C6&lt;Inputs!$C$32,"BELOW","ok")</f>
        <v/>
      </c>
      <c r="D11" s="2">
        <f>IF(D6&lt;Inputs!$C$32,"BELOW","ok")</f>
        <v/>
      </c>
      <c r="E11" s="2">
        <f>IF(E6&lt;Inputs!$C$32,"BELOW","ok")</f>
        <v/>
      </c>
      <c r="F11" s="2">
        <f>IF(F6&lt;Inputs!$C$32,"BELOW","ok")</f>
        <v/>
      </c>
      <c r="G11" s="2">
        <f>IF(G6&lt;Inputs!$C$32,"BELOW","ok")</f>
        <v/>
      </c>
      <c r="H11" s="2">
        <f>IF(H6&lt;Inputs!$C$32,"BELOW","ok")</f>
        <v/>
      </c>
      <c r="I11" s="2">
        <f>IF(I6&lt;Inputs!$C$32,"BELOW","ok")</f>
        <v/>
      </c>
    </row>
    <row r="12">
      <c r="B12" s="2" t="inlineStr">
        <is>
          <t>May 2026: leverage below the upgrade trigger?</t>
        </is>
      </c>
      <c r="C12" s="2">
        <f>IF(C5&lt;Inputs!$C$33,"YES","no")</f>
        <v/>
      </c>
      <c r="D12" s="2">
        <f>IF(D5&lt;Inputs!$C$33,"YES","no")</f>
        <v/>
      </c>
      <c r="E12" s="2">
        <f>IF(E5&lt;Inputs!$C$33,"YES","no")</f>
        <v/>
      </c>
      <c r="F12" s="2">
        <f>IF(F5&lt;Inputs!$C$33,"YES","no")</f>
        <v/>
      </c>
      <c r="G12" s="2">
        <f>IF(G5&lt;Inputs!$C$33,"YES","no")</f>
        <v/>
      </c>
      <c r="H12" s="2">
        <f>IF(H5&lt;Inputs!$C$33,"YES","no")</f>
        <v/>
      </c>
      <c r="I12" s="2">
        <f>IF(I5&lt;Inputs!$C$33,"YES","no")</f>
        <v/>
      </c>
    </row>
    <row r="14">
      <c r="B14" s="2" t="inlineStr">
        <is>
          <t>A trigger guides the committee; it is not an automatic rating change. It is read on a sustained basis, actual and forecast together.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B2:E39"/>
  <sheetViews>
    <sheetView showGridLines="0" workbookViewId="0">
      <selection activeCell="A1" sqref="A1"/>
    </sheetView>
  </sheetViews>
  <sheetFormatPr baseColWidth="8" defaultRowHeight="15"/>
  <cols>
    <col width="2" customWidth="1" min="1" max="1"/>
    <col width="62" customWidth="1" min="2" max="2"/>
    <col width="14" customWidth="1" min="3" max="3"/>
    <col width="14" customWidth="1" min="4" max="4"/>
    <col width="10" customWidth="1" min="5" max="5"/>
  </cols>
  <sheetData>
    <row r="1" ht="10" customHeight="1"/>
    <row r="2">
      <c r="B2" s="1" t="inlineStr">
        <is>
          <t>Checks: the book's figures against the workbook</t>
        </is>
      </c>
      <c r="C2" s="3" t="n"/>
      <c r="D2" s="3" t="n"/>
      <c r="E2" s="3" t="n"/>
    </row>
    <row r="4">
      <c r="B4" s="4" t="inlineStr">
        <is>
          <t>Figure printed in the book</t>
        </is>
      </c>
      <c r="C4" s="4" t="inlineStr">
        <is>
          <t>Book</t>
        </is>
      </c>
      <c r="D4" s="4" t="inlineStr">
        <is>
          <t>Workbook</t>
        </is>
      </c>
      <c r="E4" s="4" t="inlineStr">
        <is>
          <t>Check</t>
        </is>
      </c>
    </row>
    <row r="5">
      <c r="B5" s="2" t="inlineStr">
        <is>
          <t>FY2022 adjusted leverage</t>
        </is>
      </c>
      <c r="C5" s="22" t="n">
        <v>2.71</v>
      </c>
      <c r="D5" s="22">
        <f>Metrics!C14</f>
        <v/>
      </c>
      <c r="E5" s="2">
        <f>IF(ABS(D5-C5)&lt;=0.005,"OK","CHECK")</f>
        <v/>
      </c>
    </row>
    <row r="6">
      <c r="B6" s="2" t="inlineStr">
        <is>
          <t>FY2022 FFO to debt</t>
        </is>
      </c>
      <c r="C6" s="22" t="n">
        <v>0.273</v>
      </c>
      <c r="D6" s="22">
        <f>Metrics!C15</f>
        <v/>
      </c>
      <c r="E6" s="2">
        <f>IF(ABS(D6-C6)&lt;=0.0005,"OK","CHECK")</f>
        <v/>
      </c>
    </row>
    <row r="7">
      <c r="B7" s="2" t="inlineStr">
        <is>
          <t>FY2024 adjusted leverage, Thornvale alone</t>
        </is>
      </c>
      <c r="C7" s="22" t="n">
        <v>1.84</v>
      </c>
      <c r="D7" s="22">
        <f>Metrics!E14</f>
        <v/>
      </c>
      <c r="E7" s="2">
        <f>IF(ABS(D7-C7)&lt;=0.005,"OK","CHECK")</f>
        <v/>
      </c>
    </row>
    <row r="8">
      <c r="B8" s="2" t="inlineStr">
        <is>
          <t>Pro forma FY2024 adjusted EBITDA ($m)</t>
        </is>
      </c>
      <c r="C8" s="22" t="n">
        <v>682</v>
      </c>
      <c r="D8" s="22">
        <f>Metrics!$C$21</f>
        <v/>
      </c>
      <c r="E8" s="2">
        <f>IF(ABS(D8-C8)&lt;=0.5,"OK","CHECK")</f>
        <v/>
      </c>
    </row>
    <row r="9">
      <c r="B9" s="2" t="inlineStr">
        <is>
          <t>Pro forma reported debt ($m)</t>
        </is>
      </c>
      <c r="C9" s="22" t="n">
        <v>2050</v>
      </c>
      <c r="D9" s="22">
        <f>Metrics!$C$22</f>
        <v/>
      </c>
      <c r="E9" s="2">
        <f>IF(ABS(D9-C9)&lt;=0.5,"OK","CHECK")</f>
        <v/>
      </c>
    </row>
    <row r="10">
      <c r="B10" s="2" t="inlineStr">
        <is>
          <t>Pro forma adjusted debt ($m)</t>
        </is>
      </c>
      <c r="C10" s="22" t="n">
        <v>2265</v>
      </c>
      <c r="D10" s="22">
        <f>Metrics!$C$24</f>
        <v/>
      </c>
      <c r="E10" s="2">
        <f>IF(ABS(D10-C10)&lt;=0.5,"OK","CHECK")</f>
        <v/>
      </c>
    </row>
    <row r="11">
      <c r="B11" s="2" t="inlineStr">
        <is>
          <t>Pro forma leverage</t>
        </is>
      </c>
      <c r="C11" s="22" t="n">
        <v>3.32</v>
      </c>
      <c r="D11" s="22">
        <f>Metrics!$C$25</f>
        <v/>
      </c>
      <c r="E11" s="2">
        <f>IF(ABS(D11-C11)&lt;=0.005,"OK","CHECK")</f>
        <v/>
      </c>
    </row>
    <row r="12">
      <c r="B12" s="2" t="inlineStr">
        <is>
          <t>January 2025 base case, FY2025 leverage</t>
        </is>
      </c>
      <c r="C12" s="22" t="n">
        <v>3.13</v>
      </c>
      <c r="D12" s="22">
        <f>Cases!F13</f>
        <v/>
      </c>
      <c r="E12" s="2">
        <f>IF(ABS(D12-C12)&lt;=0.005,"OK","CHECK")</f>
        <v/>
      </c>
    </row>
    <row r="13">
      <c r="B13" s="2" t="inlineStr">
        <is>
          <t>January 2025 base case, FY2026 leverage</t>
        </is>
      </c>
      <c r="C13" s="22" t="n">
        <v>2.54</v>
      </c>
      <c r="D13" s="22">
        <f>Cases!G13</f>
        <v/>
      </c>
      <c r="E13" s="2">
        <f>IF(ABS(D13-C13)&lt;=0.005,"OK","CHECK")</f>
        <v/>
      </c>
    </row>
    <row r="14">
      <c r="B14" s="2" t="inlineStr">
        <is>
          <t>FY2025 Kestrel Bay adjusted EBITDA ($m)</t>
        </is>
      </c>
      <c r="C14" s="22" t="n">
        <v>607</v>
      </c>
      <c r="D14" s="22">
        <f>Metrics!F7</f>
        <v/>
      </c>
      <c r="E14" s="2">
        <f>IF(ABS(D14-C14)&lt;=0.5,"OK","CHECK")</f>
        <v/>
      </c>
    </row>
    <row r="15">
      <c r="B15" s="2" t="inlineStr">
        <is>
          <t>FY2025 management adjusted EBITDA ($m)</t>
        </is>
      </c>
      <c r="C15" s="22" t="n">
        <v>600</v>
      </c>
      <c r="D15" s="22">
        <f>Metrics!F6</f>
        <v/>
      </c>
      <c r="E15" s="2">
        <f>IF(ABS(D15-C15)&lt;=0.5,"OK","CHECK")</f>
        <v/>
      </c>
    </row>
    <row r="16">
      <c r="B16" s="2" t="inlineStr">
        <is>
          <t>FY2025 reported debt ($m)</t>
        </is>
      </c>
      <c r="C16" s="22" t="n">
        <v>2000</v>
      </c>
      <c r="D16" s="22">
        <f>Metrics!F11</f>
        <v/>
      </c>
      <c r="E16" s="2">
        <f>IF(ABS(D16-C16)&lt;=0.5,"OK","CHECK")</f>
        <v/>
      </c>
    </row>
    <row r="17">
      <c r="B17" s="2" t="inlineStr">
        <is>
          <t>FY2025 adjusted debt ($m)</t>
        </is>
      </c>
      <c r="C17" s="22" t="n">
        <v>2235</v>
      </c>
      <c r="D17" s="22">
        <f>Metrics!F13</f>
        <v/>
      </c>
      <c r="E17" s="2">
        <f>IF(ABS(D17-C17)&lt;=0.5,"OK","CHECK")</f>
        <v/>
      </c>
    </row>
    <row r="18">
      <c r="B18" s="2" t="inlineStr">
        <is>
          <t>FY2025 adjusted leverage</t>
        </is>
      </c>
      <c r="C18" s="22" t="n">
        <v>3.68</v>
      </c>
      <c r="D18" s="22">
        <f>Metrics!F14</f>
        <v/>
      </c>
      <c r="E18" s="2">
        <f>IF(ABS(D18-C18)&lt;=0.005,"OK","CHECK")</f>
        <v/>
      </c>
    </row>
    <row r="19">
      <c r="B19" s="2" t="inlineStr">
        <is>
          <t>FY2025 FFO to debt</t>
        </is>
      </c>
      <c r="C19" s="22" t="n">
        <v>0.197</v>
      </c>
      <c r="D19" s="22">
        <f>Metrics!F15</f>
        <v/>
      </c>
      <c r="E19" s="2">
        <f>IF(ABS(D19-C19)&lt;=0.0005,"OK","CHECK")</f>
        <v/>
      </c>
    </row>
    <row r="20">
      <c r="B20" s="2" t="inlineStr">
        <is>
          <t>FY2025 DCF ($m)</t>
        </is>
      </c>
      <c r="C20" s="22" t="n">
        <v>30</v>
      </c>
      <c r="D20" s="22">
        <f>Metrics!F10</f>
        <v/>
      </c>
      <c r="E20" s="2">
        <f>IF(ABS(D20-C20)&lt;=0.5,"OK","CHECK")</f>
        <v/>
      </c>
    </row>
    <row r="21">
      <c r="B21" s="2" t="inlineStr">
        <is>
          <t>November 2025 base case, FY2025 leverage</t>
        </is>
      </c>
      <c r="C21" s="22" t="n">
        <v>3.64</v>
      </c>
      <c r="D21" s="22">
        <f>Cases!F23</f>
        <v/>
      </c>
      <c r="E21" s="2">
        <f>IF(ABS(D21-C21)&lt;=0.005,"OK","CHECK")</f>
        <v/>
      </c>
    </row>
    <row r="22">
      <c r="B22" s="2" t="inlineStr">
        <is>
          <t>November 2025 base case, FY2026 leverage</t>
        </is>
      </c>
      <c r="C22" s="22" t="n">
        <v>3.22</v>
      </c>
      <c r="D22" s="22">
        <f>Cases!G23</f>
        <v/>
      </c>
      <c r="E22" s="2">
        <f>IF(ABS(D22-C22)&lt;=0.005,"OK","CHECK")</f>
        <v/>
      </c>
    </row>
    <row r="23">
      <c r="B23" s="2" t="inlineStr">
        <is>
          <t>May 2026 base case, FY2026 leverage</t>
        </is>
      </c>
      <c r="C23" s="22" t="n">
        <v>3.72</v>
      </c>
      <c r="D23" s="22">
        <f>Metrics!G14</f>
        <v/>
      </c>
      <c r="E23" s="2">
        <f>IF(ABS(D23-C23)&lt;=0.005,"OK","CHECK")</f>
        <v/>
      </c>
    </row>
    <row r="24">
      <c r="B24" s="2" t="inlineStr">
        <is>
          <t>May 2026 base case, FY2026 FFO to debt</t>
        </is>
      </c>
      <c r="C24" s="22" t="n">
        <v>0.195</v>
      </c>
      <c r="D24" s="22">
        <f>Metrics!G15</f>
        <v/>
      </c>
      <c r="E24" s="2">
        <f>IF(ABS(D24-C24)&lt;=0.0005,"OK","CHECK")</f>
        <v/>
      </c>
    </row>
    <row r="25">
      <c r="B25" s="2" t="inlineStr">
        <is>
          <t>May 2026 base case, FY2027 leverage</t>
        </is>
      </c>
      <c r="C25" s="22" t="n">
        <v>3.1</v>
      </c>
      <c r="D25" s="22">
        <f>Metrics!H14</f>
        <v/>
      </c>
      <c r="E25" s="2">
        <f>IF(ABS(D25-C25)&lt;=0.005,"OK","CHECK")</f>
        <v/>
      </c>
    </row>
    <row r="26">
      <c r="B26" s="2" t="inlineStr">
        <is>
          <t>May 2026 base case, FY2028 leverage</t>
        </is>
      </c>
      <c r="C26" s="22" t="n">
        <v>2.58</v>
      </c>
      <c r="D26" s="22">
        <f>Metrics!I14</f>
        <v/>
      </c>
      <c r="E26" s="2">
        <f>IF(ABS(D26-C26)&lt;=0.005,"OK","CHECK")</f>
        <v/>
      </c>
    </row>
    <row r="27">
      <c r="B27" s="2" t="inlineStr">
        <is>
          <t>Management plan, FY2026 leverage</t>
        </is>
      </c>
      <c r="C27" s="22" t="n">
        <v>3.59</v>
      </c>
      <c r="D27" s="22">
        <f>Cases!G33</f>
        <v/>
      </c>
      <c r="E27" s="2">
        <f>IF(ABS(D27-C27)&lt;=0.005,"OK","CHECK")</f>
        <v/>
      </c>
    </row>
    <row r="28">
      <c r="B28" s="2" t="inlineStr">
        <is>
          <t>Management plan, FY2027 leverage</t>
        </is>
      </c>
      <c r="C28" s="22" t="n">
        <v>2.83</v>
      </c>
      <c r="D28" s="22">
        <f>Cases!H33</f>
        <v/>
      </c>
      <c r="E28" s="2">
        <f>IF(ABS(D28-C28)&lt;=0.005,"OK","CHECK")</f>
        <v/>
      </c>
    </row>
    <row r="29">
      <c r="B29" s="2" t="inlineStr">
        <is>
          <t>Downside, FY2026 leverage</t>
        </is>
      </c>
      <c r="C29" s="22" t="n">
        <v>4.18</v>
      </c>
      <c r="D29" s="22">
        <f>Cases!G43</f>
        <v/>
      </c>
      <c r="E29" s="2">
        <f>IF(ABS(D29-C29)&lt;=0.005,"OK","CHECK")</f>
        <v/>
      </c>
    </row>
    <row r="30">
      <c r="B30" s="2" t="inlineStr">
        <is>
          <t>Downside, FY2027 leverage</t>
        </is>
      </c>
      <c r="C30" s="22" t="n">
        <v>3.64</v>
      </c>
      <c r="D30" s="22">
        <f>Cases!H43</f>
        <v/>
      </c>
      <c r="E30" s="2">
        <f>IF(ABS(D30-C30)&lt;=0.005,"OK","CHECK")</f>
        <v/>
      </c>
    </row>
    <row r="31">
      <c r="B31" s="2" t="inlineStr">
        <is>
          <t>Issuer rating, March 2023</t>
        </is>
      </c>
      <c r="C31" s="2" t="inlineStr">
        <is>
          <t>BBB</t>
        </is>
      </c>
      <c r="D31" s="2">
        <f>Scorecard!C14</f>
        <v/>
      </c>
      <c r="E31" s="2">
        <f>IF(EXACT(D31,C31),"OK","CHECK")</f>
        <v/>
      </c>
    </row>
    <row r="32">
      <c r="B32" s="2" t="inlineStr">
        <is>
          <t>Issuer rating, January 2025</t>
        </is>
      </c>
      <c r="C32" s="2" t="inlineStr">
        <is>
          <t>BBB-</t>
        </is>
      </c>
      <c r="D32" s="2">
        <f>Scorecard!D14</f>
        <v/>
      </c>
      <c r="E32" s="2">
        <f>IF(EXACT(D32,C32),"OK","CHECK")</f>
        <v/>
      </c>
    </row>
    <row r="33">
      <c r="B33" s="2" t="inlineStr">
        <is>
          <t>Issuer rating, May 2026</t>
        </is>
      </c>
      <c r="C33" s="2" t="inlineStr">
        <is>
          <t>BB+</t>
        </is>
      </c>
      <c r="D33" s="2">
        <f>Scorecard!E14</f>
        <v/>
      </c>
      <c r="E33" s="2">
        <f>IF(EXACT(D33,C33),"OK","CHECK")</f>
        <v/>
      </c>
    </row>
    <row r="34">
      <c r="B34" s="2" t="inlineStr">
        <is>
          <t>Secured term loan, May 2026</t>
        </is>
      </c>
      <c r="C34" s="2" t="inlineStr">
        <is>
          <t>BBB-</t>
        </is>
      </c>
      <c r="D34" s="2">
        <f>Scorecard!E17</f>
        <v/>
      </c>
      <c r="E34" s="2">
        <f>IF(EXACT(D34,C34),"OK","CHECK")</f>
        <v/>
      </c>
    </row>
    <row r="35">
      <c r="B35" s="2" t="inlineStr">
        <is>
          <t>Unsecured notes, May 2026</t>
        </is>
      </c>
      <c r="C35" s="2" t="inlineStr">
        <is>
          <t>BB+</t>
        </is>
      </c>
      <c r="D35" s="2">
        <f>Scorecard!E18</f>
        <v/>
      </c>
      <c r="E35" s="2">
        <f>IF(EXACT(D35,C35),"OK","CHECK")</f>
        <v/>
      </c>
    </row>
    <row r="36">
      <c r="B36" s="2" t="inlineStr">
        <is>
          <t>Anchor, May 2026</t>
        </is>
      </c>
      <c r="C36" s="2" t="inlineStr">
        <is>
          <t>bb+</t>
        </is>
      </c>
      <c r="D36" s="2">
        <f>Scorecard!E12</f>
        <v/>
      </c>
      <c r="E36" s="2">
        <f>IF(EXACT(D36,C36),"OK","CHECK")</f>
        <v/>
      </c>
    </row>
    <row r="38">
      <c r="B38" s="21" t="inlineStr">
        <is>
          <t>Result</t>
        </is>
      </c>
      <c r="D38" s="21">
        <f>IF(COUNTIF(E5:E36,"OK")=32,"ALL CHECKS OK","SOME CHECKS FAIL")</f>
        <v/>
      </c>
    </row>
    <row r="39">
      <c r="B39" s="2" t="inlineStr">
        <is>
          <t>The checks hold on the default inputs. Change an input and the Book column stays as printed, so the check flags what moved.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2026-10-15T21:30:55Z</dcterms:created>
  <dcterms:modified xmlns:dcterms="http://purl.org/dc/terms/" xmlns:xsi="http://www.w3.org/2001/XMLSchema-instance" xsi:type="dcterms:W3CDTF">2026-10-15T21:30:55Z</dcterms:modified>
</cp:coreProperties>
</file>