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Allocation" sheetId="3" state="visible" r:id="rId5"/>
    <sheet name="Stress_Test" sheetId="4" state="visible" r:id="rId6"/>
    <sheet name="Base_Quarterly" sheetId="5" state="visible" r:id="rId7"/>
    <sheet name="Review" sheetId="6" state="visible" r:id="rId8"/>
    <sheet name="Dashboard" sheetId="7" state="visible" r:id="rId9"/>
    <sheet name="Base" sheetId="8" state="visible" r:id="rId10"/>
    <sheet name="Rates_Up_2" sheetId="9" state="visible" r:id="rId11"/>
    <sheet name="Recession" sheetId="10" state="visible" r:id="rId12"/>
    <sheet name="Combined" sheetId="11" state="visible" r:id="rId13"/>
    <sheet name="Gate_Only" sheetId="12" state="visible" r:id="rId14"/>
    <sheet name="No_Default" sheetId="13" state="visible" r:id="rId15"/>
    <sheet name="Corlett_Minus_35" sheetId="14" state="visible" r:id="rId16"/>
    <sheet name="Derived" sheetId="15" state="visible" r:id="rId17"/>
    <sheet name="Checks"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<sst xmlns="http://schemas.openxmlformats.org/spreadsheetml/2006/main" count="2488" uniqueCount="825">
  <si>
    <t xml:space="preserve">The credit portfolio: allocation, three years, the stress test and the review</t>
  </si>
  <si>
    <t xml:space="preserve">Companion workbook to The Credit Investor: Credit Investing by the Numbers: Bonds, Loan Funds, BDCs and Private Credit Funds, Default, Recovery and the Real Yield, With the Models Supplied. By Julian R. Sterling. julianrsterling.com/creditinvesting</t>
  </si>
  <si>
    <t xml:space="preserve">What it is</t>
  </si>
  <si>
    <t xml:space="preserve">The figures of Part III and of the portfolio at purchase, live: the seventeen lines with their displayed, expected and effective yields; one sheet per scenario (base, rates up 2 points, recession, combined, gate only, and the two variants the book quotes: no default and Corlett at -35%), each with its assumptions as inputs at the top and every line's quarterly flows from quarter 0 to 16 as formulas; the base path by quarter; realized IRR by line and the weighted shortfalls; the stress-test table; the quarterly dashboard.</t>
  </si>
  <si>
    <t xml:space="preserve">Where it is in the book</t>
  </si>
  <si>
    <t xml:space="preserve">The portfolio at purchase (Introduction and Chapter 1), and Part III: three years, the stress test, the review.</t>
  </si>
  <si>
    <t xml:space="preserve">Sheets</t>
  </si>
  <si>
    <t xml:space="preserve">Assumptions. Allocation. Base, Rates_Up_2, Recession, Combined, Gate_Only, No_Default, Corlett_Minus_35 (the scenario engines). Base_Quarterly. Review. Stress_Test. Dashboard. Checks.</t>
  </si>
  <si>
    <t xml:space="preserve">Conventions</t>
  </si>
  <si>
    <t xml:space="preserve">Yellow cells with blue type are inputs; grey cells are formulas. Change an input and every sheet follows. Money in US dollars. Time in quarters from the purchase (quarter 0). Every return is the IRR of quarterly cash flows, made annual as (1 + quarterly IRR)^4 - 1. Screen yields are simple annual rates. No macros, no circular references, nothing locked, protected or hidden.</t>
  </si>
  <si>
    <t xml:space="preserve">Every issuer, fund, BDC and person in the worked case is fictional. Every rate, spread, default and recovery figure is the book's assumption, not a market statistic.</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</si>
  <si>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</si>
  <si>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</si>
  <si>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</si>
  <si>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the investor, the market and the seventeen lines</t>
  </si>
  <si>
    <t xml:space="preserve">Yellow cells with blue type are inputs; change one and every sheet follows. Every figure is the book's assumption for a fictional case, not a market statistic.</t>
  </si>
  <si>
    <t xml:space="preserve">Market and investor</t>
  </si>
  <si>
    <t xml:space="preserve">Risk-free rate (Treasury bills; base SOFR)</t>
  </si>
  <si>
    <t xml:space="preserve">a year</t>
  </si>
  <si>
    <t xml:space="preserve">Budget</t>
  </si>
  <si>
    <t xml:space="preserve">Recovery, senior unsecured bond</t>
  </si>
  <si>
    <t xml:space="preserve">Recovery, senior secured loan</t>
  </si>
  <si>
    <t xml:space="preserve">Annual probability of default by rating (the book's assumptions)</t>
  </si>
  <si>
    <t xml:space="preserve">Rating</t>
  </si>
  <si>
    <t xml:space="preserve">Annual PD</t>
  </si>
  <si>
    <t xml:space="preserve">A</t>
  </si>
  <si>
    <t xml:space="preserve">BBB</t>
  </si>
  <si>
    <t xml:space="preserve">BB</t>
  </si>
  <si>
    <t xml:space="preserve">B</t>
  </si>
  <si>
    <t xml:space="preserve">CCC</t>
  </si>
  <si>
    <t xml:space="preserve">Investment-grade ladder: bought at 100 on a coupon date, semiannual coupons</t>
  </si>
  <si>
    <t xml:space="preserve">Face per bond</t>
  </si>
  <si>
    <t xml:space="preserve">Bond</t>
  </si>
  <si>
    <t xml:space="preserve">Spread</t>
  </si>
  <si>
    <t xml:space="preserve">Maturity (years)</t>
  </si>
  <si>
    <t xml:space="preserve">Coupon (risk-free + spread)</t>
  </si>
  <si>
    <t xml:space="preserve">Aldermoor Utilities</t>
  </si>
  <si>
    <t xml:space="preserve">Carrow Rail</t>
  </si>
  <si>
    <t xml:space="preserve">Hesketh Foods</t>
  </si>
  <si>
    <t xml:space="preserve">Penrith Medical</t>
  </si>
  <si>
    <t xml:space="preserve">Stanwick Networks</t>
  </si>
  <si>
    <t xml:space="preserve">High-yield bonds: bought below 100 on a coupon date, semiannual coupons</t>
  </si>
  <si>
    <t xml:space="preserve">Maturity at purchase</t>
  </si>
  <si>
    <t xml:space="preserve">years</t>
  </si>
  <si>
    <t xml:space="preserve">Coupon</t>
  </si>
  <si>
    <t xml:space="preserve">Price (per 100)</t>
  </si>
  <si>
    <t xml:space="preserve">Cost</t>
  </si>
  <si>
    <t xml:space="preserve">Blakeney Packaging</t>
  </si>
  <si>
    <t xml:space="preserve">Dunmore Leisure</t>
  </si>
  <si>
    <t xml:space="preserve">Fenwick Chemicals</t>
  </si>
  <si>
    <t xml:space="preserve">Garside Auto Parts</t>
  </si>
  <si>
    <t xml:space="preserve">Marlow Home Brands</t>
  </si>
  <si>
    <t xml:space="preserve">Harrowgate Pneumatics</t>
  </si>
  <si>
    <t xml:space="preserve">Floating-rate loan fund: Brindle Floating Rate Fund (open-end, daily liquidity)</t>
  </si>
  <si>
    <t xml:space="preserve">Amount invested</t>
  </si>
  <si>
    <t xml:space="preserve">NAV per share at purchase</t>
  </si>
  <si>
    <t xml:space="preserve">Loan spread over SOFR</t>
  </si>
  <si>
    <t xml:space="preserve">Fund expenses</t>
  </si>
  <si>
    <t xml:space="preserve">of NAV a year</t>
  </si>
  <si>
    <t xml:space="preserve">Annual default rate of the loans</t>
  </si>
  <si>
    <t xml:space="preserve">Loss given default (1 - loan recovery)</t>
  </si>
  <si>
    <t xml:space="preserve">Listed BDCs (fractional shares allowed in the model)</t>
  </si>
  <si>
    <t xml:space="preserve">Amount in each BDC</t>
  </si>
  <si>
    <t xml:space="preserve">BDC</t>
  </si>
  <si>
    <t xml:space="preserve">Ledgerwood Capital</t>
  </si>
  <si>
    <t xml:space="preserve">Tamsin Lending</t>
  </si>
  <si>
    <t xml:space="preserve">Corlett Credit</t>
  </si>
  <si>
    <t xml:space="preserve">Share price at purchase</t>
  </si>
  <si>
    <t xml:space="preserve">Quarterly dividend per share</t>
  </si>
  <si>
    <t xml:space="preserve">Asset spread over SOFR</t>
  </si>
  <si>
    <t xml:space="preserve">Leverage (debt / equity)</t>
  </si>
  <si>
    <t xml:space="preserve">Cost of debt</t>
  </si>
  <si>
    <t xml:space="preserve">Base fee on gross assets</t>
  </si>
  <si>
    <t xml:space="preserve">Other expenses (of NAV)</t>
  </si>
  <si>
    <t xml:space="preserve">Incentive fee (of pre-incentive NII)</t>
  </si>
  <si>
    <t xml:space="preserve">NAV credit losses a year</t>
  </si>
  <si>
    <t xml:space="preserve">Non-accruals, quarters 1 to 4</t>
  </si>
  <si>
    <t xml:space="preserve">Non-accruals, quarters 5 to 8</t>
  </si>
  <si>
    <t xml:space="preserve">Non-accruals, quarters 9 to 12</t>
  </si>
  <si>
    <t xml:space="preserve">Dividend cut from quarter (base case)</t>
  </si>
  <si>
    <t xml:space="preserve">none</t>
  </si>
  <si>
    <t xml:space="preserve">Dividend after the cut</t>
  </si>
  <si>
    <t xml:space="preserve">Discount (-) or premium at quarter 12</t>
  </si>
  <si>
    <t xml:space="preserve">'none' means no cut in the base case. The discount at quarter 12 is the base case; scenarios can override it.</t>
  </si>
  <si>
    <t xml:space="preserve">Private credit interval fund: Ashcombe Private Credit Interval Fund</t>
  </si>
  <si>
    <t xml:space="preserve">Distribution per share a quarter</t>
  </si>
  <si>
    <t xml:space="preserve">Fees and discount on the loans (a year)</t>
  </si>
  <si>
    <t xml:space="preserve">Leverage (debt / NAV)</t>
  </si>
  <si>
    <t xml:space="preserve">Borrowing cost: SOFR plus</t>
  </si>
  <si>
    <t xml:space="preserve">Management fee on gross assets</t>
  </si>
  <si>
    <t xml:space="preserve">Servicing fee (of NAV)</t>
  </si>
  <si>
    <t xml:space="preserve">Incentive fee</t>
  </si>
  <si>
    <t xml:space="preserve">Hurdle (pre-incentive NII, of NAV)</t>
  </si>
  <si>
    <t xml:space="preserve">Loss given default</t>
  </si>
  <si>
    <t xml:space="preserve">Quarterly repurchase offer (share of the fund)</t>
  </si>
  <si>
    <t xml:space="preserve">Treasury bill reserve: what is left of the budget</t>
  </si>
  <si>
    <t xml:space="preserve">Reserve = budget - IG - HY - loan fund - BDCs - interval fund</t>
  </si>
  <si>
    <t xml:space="preserve">Time runs in quarters from the purchase (quarter 0). Everything tradable is sold or valued at quarter 12; the interval fund is tendered at quarter 12 and pays as the fund allows, up to quarter 16.</t>
  </si>
  <si>
    <t xml:space="preserve">The portfolio at purchase: seventeen lines, displayed and expected yields</t>
  </si>
  <si>
    <t xml:space="preserve">Displayed = what the screen shows. Expected = displayed less the expected loss, and for funds and BDCs the model's income less losses at a constant discount. Effective = the displayed yield restated as an effective annual rate, to compare with an IRR.</t>
  </si>
  <si>
    <t xml:space="preserve">Line</t>
  </si>
  <si>
    <t xml:space="preserve">Sleeve</t>
  </si>
  <si>
    <t xml:space="preserve">Weight</t>
  </si>
  <si>
    <t xml:space="preserve">Displayed</t>
  </si>
  <si>
    <t xml:space="preserve">Expected</t>
  </si>
  <si>
    <t xml:space="preserve">Effective displayed</t>
  </si>
  <si>
    <t xml:space="preserve">NII at quarter 1 (of NAV)</t>
  </si>
  <si>
    <t xml:space="preserve">IG</t>
  </si>
  <si>
    <t xml:space="preserve">HY</t>
  </si>
  <si>
    <t xml:space="preserve">Brindle Floating Rate Fund</t>
  </si>
  <si>
    <t xml:space="preserve">Loan fund</t>
  </si>
  <si>
    <t xml:space="preserve">n/a</t>
  </si>
  <si>
    <t xml:space="preserve">Ashcombe Private Credit Interval Fund</t>
  </si>
  <si>
    <t xml:space="preserve">Interval fund</t>
  </si>
  <si>
    <t xml:space="preserve">Treasury bills</t>
  </si>
  <si>
    <t xml:space="preserve">Reserve</t>
  </si>
  <si>
    <t xml:space="preserve">Portfolio</t>
  </si>
  <si>
    <t xml:space="preserve">By sleeve</t>
  </si>
  <si>
    <t xml:space="preserve">Lines</t>
  </si>
  <si>
    <t xml:space="preserve">HY sleeve cost (face $75,000 bought below 100)</t>
  </si>
  <si>
    <t xml:space="preserve">Reserve: what is left</t>
  </si>
  <si>
    <t xml:space="preserve">Largest line: the interval fund, share of the budget</t>
  </si>
  <si>
    <t xml:space="preserve">Smallest line: Harrowgate Pneumatics, cost</t>
  </si>
  <si>
    <t xml:space="preserve">Harrowgate Pneumatics, share of the budget</t>
  </si>
  <si>
    <t xml:space="preserve">The stress test: portfolio and sleeve IRRs by scenario</t>
  </si>
  <si>
    <t xml:space="preserve">Each row reads its scenario sheet. The assumptions of each scenario are the inputs at the top of its sheet.</t>
  </si>
  <si>
    <t xml:space="preserve">Scenario</t>
  </si>
  <si>
    <t xml:space="preserve">Portfolio IRR</t>
  </si>
  <si>
    <t xml:space="preserve">Total gain</t>
  </si>
  <si>
    <t xml:space="preserve">Base</t>
  </si>
  <si>
    <t xml:space="preserve">Rates up 2 points</t>
  </si>
  <si>
    <t xml:space="preserve">Recession</t>
  </si>
  <si>
    <t xml:space="preserve">Rates up and recession</t>
  </si>
  <si>
    <t xml:space="preserve">Gate only</t>
  </si>
  <si>
    <t xml:space="preserve">No default</t>
  </si>
  <si>
    <t xml:space="preserve">Corlett at -35% at quarter 12</t>
  </si>
  <si>
    <t xml:space="preserve">The gate barely moves the IRR because the shares keep earning; the cost of a gate is the money the investor cannot use, which an IRR does not see.</t>
  </si>
  <si>
    <t xml:space="preserve">The base path: the portfolio's net cash flow by quarter</t>
  </si>
  <si>
    <t xml:space="preserve">All seventeen lines. Quarter 12 includes the sales, the maturities and the interval fund tender paid in full.</t>
  </si>
  <si>
    <t xml:space="preserve">Quarter</t>
  </si>
  <si>
    <t xml:space="preserve">Net cash flow</t>
  </si>
  <si>
    <t xml:space="preserve">Cumulative</t>
  </si>
  <si>
    <t xml:space="preserve">Income received in quarters 1 to 11</t>
  </si>
  <si>
    <t xml:space="preserve">Total gain over three years</t>
  </si>
  <si>
    <t xml:space="preserve">Portfolio IRR, base</t>
  </si>
  <si>
    <t xml:space="preserve">Displayed (cost-weighted)</t>
  </si>
  <si>
    <t xml:space="preserve">Displayed, effective</t>
  </si>
  <si>
    <t xml:space="preserve">Portfolio IRR without the Harrowgate default</t>
  </si>
  <si>
    <t xml:space="preserve">Harrowgate recovery received at quarter 10 (face x recovery)</t>
  </si>
  <si>
    <t xml:space="preserve">Harrowgate: dollar result (sum of its flows)</t>
  </si>
  <si>
    <t xml:space="preserve">The review: realized IRR by line and who made the shortfall (base case)</t>
  </si>
  <si>
    <t xml:space="preserve">Shortfall points x weight = cost / budget x (displayed - realized IRR).</t>
  </si>
  <si>
    <t xml:space="preserve">Realized IRR</t>
  </si>
  <si>
    <t xml:space="preserve">Gain</t>
  </si>
  <si>
    <t xml:space="preserve">Shortfall points x weight</t>
  </si>
  <si>
    <t xml:space="preserve">Sum of the weighted shortfalls</t>
  </si>
  <si>
    <t xml:space="preserve">Portfolio displayed yield minus portfolio IRR (IRRs do not add)</t>
  </si>
  <si>
    <t xml:space="preserve">Harrowgate and Corlett: share of the money</t>
  </si>
  <si>
    <t xml:space="preserve">Their weighted shortfall</t>
  </si>
  <si>
    <t xml:space="preserve">Their share of the total</t>
  </si>
  <si>
    <t xml:space="preserve">Sleeve IRRs (base)</t>
  </si>
  <si>
    <t xml:space="preserve">Sleeve IG</t>
  </si>
  <si>
    <t xml:space="preserve">Sleeve HY</t>
  </si>
  <si>
    <t xml:space="preserve">Sleeve Loan fund</t>
  </si>
  <si>
    <t xml:space="preserve">Sleeve BDC</t>
  </si>
  <si>
    <t xml:space="preserve">Sleeve Interval fund</t>
  </si>
  <si>
    <t xml:space="preserve">Sleeve Reserve</t>
  </si>
  <si>
    <t xml:space="preserve">The quarterly review dashboard (base case): the figures the investor reads each quarter</t>
  </si>
  <si>
    <t xml:space="preserve">Coverage = NII / dividend (or distribution). Read from the Base sheet.</t>
  </si>
  <si>
    <t xml:space="preserve">Figure</t>
  </si>
  <si>
    <t xml:space="preserve">Quarter 4</t>
  </si>
  <si>
    <t xml:space="preserve">Quarter 8</t>
  </si>
  <si>
    <t xml:space="preserve">Corlett Credit coverage</t>
  </si>
  <si>
    <t xml:space="preserve">Corlett Credit NAV per share</t>
  </si>
  <si>
    <t xml:space="preserve">Ledgerwood Capital coverage</t>
  </si>
  <si>
    <t xml:space="preserve">Tamsin Lending coverage</t>
  </si>
  <si>
    <t xml:space="preserve">Interval fund NAV per share</t>
  </si>
  <si>
    <t xml:space="preserve">Interval fund NII coverage of the distribution</t>
  </si>
  <si>
    <t xml:space="preserve">Loan fund NAV per share</t>
  </si>
  <si>
    <t xml:space="preserve">Corlett Credit: fall in NAV per share in year one</t>
  </si>
  <si>
    <t xml:space="preserve">Ledgerwood Capital: fall in NAV per share in year one</t>
  </si>
  <si>
    <t xml:space="preserve">Scenario: Base. All seventeen lines, quarter by quarter</t>
  </si>
  <si>
    <t xml:space="preserve">Scenario inputs at the top (yellow). Grey inputs follow the Assumptions sheet unless the scenario overrides them. Paths first, then each line's quarterly flows, the sleeves, the portfolio and the IRRs.</t>
  </si>
  <si>
    <t xml:space="preserve">Scenario inputs: Base</t>
  </si>
  <si>
    <t xml:space="preserve">Rate shock from quarter 1 (SOFR and bills; bond yields at quarter 12)</t>
  </si>
  <si>
    <t xml:space="preserve">points</t>
  </si>
  <si>
    <t xml:space="preserve">Change in SOFR from quarter 5 (recession)</t>
  </si>
  <si>
    <t xml:space="preserve">Change in IG spreads at the quarter-12 valuation</t>
  </si>
  <si>
    <t xml:space="preserve">Change in HY spreads at the quarter-12 valuation</t>
  </si>
  <si>
    <t xml:space="preserve">HY defaults ('none' = no default)</t>
  </si>
  <si>
    <t xml:space="preserve">Coupon missed in quarter</t>
  </si>
  <si>
    <t xml:space="preserve">Recovery (per 1 of face)</t>
  </si>
  <si>
    <t xml:space="preserve">Recovery paid in quarter</t>
  </si>
  <si>
    <t xml:space="preserve">Loan fund: annual default rate, every quarter</t>
  </si>
  <si>
    <t xml:space="preserve">Loan fund: annual default rate, quarters 5 to 8</t>
  </si>
  <si>
    <t xml:space="preserve">Loan fund: loss given default, quarters 5 to 8</t>
  </si>
  <si>
    <t xml:space="preserve">BDCs: loss multiplier, quarters 5 to 8</t>
  </si>
  <si>
    <t xml:space="preserve">x</t>
  </si>
  <si>
    <t xml:space="preserve">BDCs: extra non-accruals from quarter 5</t>
  </si>
  <si>
    <t xml:space="preserve">BDC ('none' = no scenario cut)</t>
  </si>
  <si>
    <t xml:space="preserve">Scenario cut from quarter</t>
  </si>
  <si>
    <t xml:space="preserve">Discount at quarter 12</t>
  </si>
  <si>
    <t xml:space="preserve">Interval fund: loss multiplier, quarters 5 to 8</t>
  </si>
  <si>
    <t xml:space="preserve">Interval fund: annual default rate</t>
  </si>
  <si>
    <t xml:space="preserve">Gate: share of each tender filled (100% = no gate)</t>
  </si>
  <si>
    <t xml:space="preserve">Gate: number of gated quarters from quarter 12 (then paid in full)</t>
  </si>
  <si>
    <t xml:space="preserve">SOFR and bill rate</t>
  </si>
  <si>
    <t xml:space="preserve">Brindle Floating Rate Fund: NAV path</t>
  </si>
  <si>
    <t xml:space="preserve">Shares bought</t>
  </si>
  <si>
    <t xml:space="preserve">Distribution yield at quarter 1 (SOFR + spread - expenses)</t>
  </si>
  <si>
    <t xml:space="preserve">Annual default rate</t>
  </si>
  <si>
    <t xml:space="preserve">Distribution per share</t>
  </si>
  <si>
    <t xml:space="preserve">NAV per share</t>
  </si>
  <si>
    <t xml:space="preserve">Distributions received, quarters 1 to 12</t>
  </si>
  <si>
    <t xml:space="preserve">Ledgerwood Capital: income, dividend and NAV per share</t>
  </si>
  <si>
    <t xml:space="preserve">Discount (-) or premium at purchase</t>
  </si>
  <si>
    <t xml:space="preserve">Non-accruals (share of assets)</t>
  </si>
  <si>
    <t xml:space="preserve">Asset yield (SOFR + spread)</t>
  </si>
  <si>
    <t xml:space="preserve">Pre-incentive NII (of NAV, a year)</t>
  </si>
  <si>
    <t xml:space="preserve">NII after incentive fee (of NAV, a year)</t>
  </si>
  <si>
    <t xml:space="preserve">NII per share, the quarter</t>
  </si>
  <si>
    <t xml:space="preserve">Dividend per share</t>
  </si>
  <si>
    <t xml:space="preserve">NAV credit losses (a year)</t>
  </si>
  <si>
    <t xml:space="preserve">NAV per share (end of quarter)</t>
  </si>
  <si>
    <t xml:space="preserve">Coverage (NII / dividend)</t>
  </si>
  <si>
    <t xml:space="preserve">Price at quarter 12 (NAV x (1 + discount))</t>
  </si>
  <si>
    <t xml:space="preserve">Tamsin Lending: income, dividend and NAV per share</t>
  </si>
  <si>
    <t xml:space="preserve">Corlett Credit: income, dividend and NAV per share</t>
  </si>
  <si>
    <t xml:space="preserve">Ashcombe Private Credit Interval Fund: fee stack (of NAV, a year), NAV and tenders</t>
  </si>
  <si>
    <t xml:space="preserve">Asset yield (SOFR + spread + fees and discount)</t>
  </si>
  <si>
    <t xml:space="preserve">quarters 13 to 16 at the quarter-12 rate</t>
  </si>
  <si>
    <t xml:space="preserve">Gross income on assets</t>
  </si>
  <si>
    <t xml:space="preserve">Interest on the fund's borrowing</t>
  </si>
  <si>
    <t xml:space="preserve">Management fee</t>
  </si>
  <si>
    <t xml:space="preserve">Other expenses and servicing fee</t>
  </si>
  <si>
    <t xml:space="preserve">Pre-incentive NII</t>
  </si>
  <si>
    <t xml:space="preserve">Incentive fee (if the hurdle is passed)</t>
  </si>
  <si>
    <t xml:space="preserve">Net investment income</t>
  </si>
  <si>
    <t xml:space="preserve">Credit losses (PD x LGD x assets)</t>
  </si>
  <si>
    <t xml:space="preserve">Coverage (NII / distribution)</t>
  </si>
  <si>
    <t xml:space="preserve">Shares repurchased in the quarter</t>
  </si>
  <si>
    <t xml:space="preserve">Shares held (end of quarter)</t>
  </si>
  <si>
    <t xml:space="preserve">Distributions received</t>
  </si>
  <si>
    <t xml:space="preserve">Quarterly cash flows of each line (negative = paid out, positive = received)</t>
  </si>
  <si>
    <t xml:space="preserve">Price at quarter 12 (per 100)</t>
  </si>
  <si>
    <t xml:space="preserve">Yield at purchase</t>
  </si>
  <si>
    <t xml:space="preserve">Gain (sum of flows)</t>
  </si>
  <si>
    <t xml:space="preserve">IRR a year</t>
  </si>
  <si>
    <t xml:space="preserve">Sleeve: IG</t>
  </si>
  <si>
    <t xml:space="preserve">Sleeve: HY</t>
  </si>
  <si>
    <t xml:space="preserve">Sleeve: Loan fund</t>
  </si>
  <si>
    <t xml:space="preserve">Sleeve: BDC</t>
  </si>
  <si>
    <t xml:space="preserve">Sleeve: Interval fund</t>
  </si>
  <si>
    <t xml:space="preserve">Sleeve: Reserve</t>
  </si>
  <si>
    <t xml:space="preserve">Scenario: Rates up 2 points. All seventeen lines, quarter by quarter</t>
  </si>
  <si>
    <t xml:space="preserve">Scenario inputs: Rates up 2 points</t>
  </si>
  <si>
    <t xml:space="preserve">Scenario: Recession. All seventeen lines, quarter by quarter</t>
  </si>
  <si>
    <t xml:space="preserve">Scenario inputs: Recession</t>
  </si>
  <si>
    <t xml:space="preserve">Scenario: Rates up and recession. All seventeen lines, quarter by quarter</t>
  </si>
  <si>
    <t xml:space="preserve">Scenario inputs: Rates up and recession</t>
  </si>
  <si>
    <t xml:space="preserve">Scenario: Gate only. All seventeen lines, quarter by quarter</t>
  </si>
  <si>
    <t xml:space="preserve">Scenario inputs: Gate only</t>
  </si>
  <si>
    <t xml:space="preserve">Scenario: No default. All seventeen lines, quarter by quarter</t>
  </si>
  <si>
    <t xml:space="preserve">Scenario inputs: No default</t>
  </si>
  <si>
    <t xml:space="preserve">Scenario: Corlett at -35% at quarter 12. All seventeen lines, quarter by quarter</t>
  </si>
  <si>
    <t xml:space="preserve">Scenario inputs: Corlett at -35% at quarter 12</t>
  </si>
  <si>
    <t xml:space="preserve">Derived figures: the arithmetic the text prints, recomputed from the live cells</t>
  </si>
  <si>
    <t xml:space="preserve">Each row takes the expression the manuscript uses (facts.json), with percentages in percent units, and computes it from the cells of this workbook. The Checks sheet compares each with the printed figure.</t>
  </si>
  <si>
    <t xml:space="preserve">Key</t>
  </si>
  <si>
    <t xml:space="preserve">Expression (percent figures in percent units)</t>
  </si>
  <si>
    <t xml:space="preserve">Value</t>
  </si>
  <si>
    <t xml:space="preserve">Printed</t>
  </si>
  <si>
    <t xml:space="preserve">GAP_EFF</t>
  </si>
  <si>
    <t xml:space="preserve">round(PORT_DISP_EFF, 2) - round(PORT_IRR, 2)  (00_intro.md)</t>
  </si>
  <si>
    <t xml:space="preserve">1.66</t>
  </si>
  <si>
    <t xml:space="preserve">GAP_EXP</t>
  </si>
  <si>
    <t xml:space="preserve">round(PORT_EXP, 2) - round(PORT_IRR, 2)  (00_intro.md)</t>
  </si>
  <si>
    <t xml:space="preserve">0.29</t>
  </si>
  <si>
    <t xml:space="preserve">HY_EXP_GAP</t>
  </si>
  <si>
    <t xml:space="preserve">round(S_DISP_HY, 2) - round(S_EXP_HY, 2)  (03.md)</t>
  </si>
  <si>
    <t xml:space="preserve">2.55</t>
  </si>
  <si>
    <t xml:space="preserve">HY_SURV_GAIN</t>
  </si>
  <si>
    <t xml:space="preserve">round(HY_BLAKEN_GAIN_L) + round(HY_DUNMOR_GAIN_L) + round(HY_FENWIC_GAIN_L) + round(HY_GARSID_GAIN_L) + round(HY_MARLOW_GAIN_L)  (06.md)</t>
  </si>
  <si>
    <t xml:space="preserve">$14,378</t>
  </si>
  <si>
    <t xml:space="preserve">DER_041</t>
  </si>
  <si>
    <t xml:space="preserve">HY_SURV_GAIN + round(HARR_PNL)  (06.md)</t>
  </si>
  <si>
    <t xml:space="preserve">$8,690</t>
  </si>
  <si>
    <t xml:space="preserve">LF_EXP_Q</t>
  </si>
  <si>
    <t xml:space="preserve">round(LF_EXP, 2) / 4  (07.md)</t>
  </si>
  <si>
    <t xml:space="preserve">1.40</t>
  </si>
  <si>
    <t xml:space="preserve">DER_057</t>
  </si>
  <si>
    <t xml:space="preserve">1 + LF_EXP_Q / 100  (07.md)</t>
  </si>
  <si>
    <t xml:space="preserve">1.014</t>
  </si>
  <si>
    <t xml:space="preserve">DER_058</t>
  </si>
  <si>
    <t xml:space="preserve">(1 + LF_EXP_Q / 100) ** 4  (07.md)</t>
  </si>
  <si>
    <t xml:space="preserve">1.0572</t>
  </si>
  <si>
    <t xml:space="preserve">IF_GAP</t>
  </si>
  <si>
    <t xml:space="preserve">round(IF_DISP, 2) - round(IF_EXP, 2)  (11.md)</t>
  </si>
  <si>
    <t xml:space="preserve">1.81</t>
  </si>
  <si>
    <t xml:space="preserve">DER_103</t>
  </si>
  <si>
    <t xml:space="preserve">IF_GAP * 3  (11.md)</t>
  </si>
  <si>
    <t xml:space="preserve">5.43</t>
  </si>
  <si>
    <t xml:space="preserve">DER_130</t>
  </si>
  <si>
    <t xml:space="preserve">round(PORT_DISP, 2) - RF  (14.md)</t>
  </si>
  <si>
    <t xml:space="preserve">3.46</t>
  </si>
  <si>
    <t xml:space="preserve">DER_131</t>
  </si>
  <si>
    <t xml:space="preserve">round(PORT_IRR, 2) - RF  (14.md)</t>
  </si>
  <si>
    <t xml:space="preserve">2.02</t>
  </si>
  <si>
    <t xml:space="preserve">DER_136</t>
  </si>
  <si>
    <t xml:space="preserve">COST_LOAN_FUND + COST_BDC + COST_INTERVAL_FUND  (15.md)</t>
  </si>
  <si>
    <t xml:space="preserve">$250,000</t>
  </si>
  <si>
    <t xml:space="preserve">DER_137</t>
  </si>
  <si>
    <t xml:space="preserve">(round(S_DISP_IG, 2) - round(S_EXP_IG, 2)) * W_IG / 100  (15.md)</t>
  </si>
  <si>
    <t xml:space="preserve">0.02</t>
  </si>
  <si>
    <t xml:space="preserve">DER_138</t>
  </si>
  <si>
    <t xml:space="preserve">HY_EXP_GAP  (15.md)</t>
  </si>
  <si>
    <t xml:space="preserve">C_HY</t>
  </si>
  <si>
    <t xml:space="preserve">HY_EXP_GAP * round(W_HY, 1) / 100  (15.md)</t>
  </si>
  <si>
    <t xml:space="preserve">0.37</t>
  </si>
  <si>
    <t xml:space="preserve">C_BDC</t>
  </si>
  <si>
    <t xml:space="preserve">(round(S_DISP_BDC, 2) - round(S_EXP_BDC, 2)) * W_BDC / 100  (15.md)</t>
  </si>
  <si>
    <t xml:space="preserve">0.24</t>
  </si>
  <si>
    <t xml:space="preserve">DER_142</t>
  </si>
  <si>
    <t xml:space="preserve">IF_GAP  (15.md)</t>
  </si>
  <si>
    <t xml:space="preserve">DER_143</t>
  </si>
  <si>
    <t xml:space="preserve">round(C_HY, 2) + round(IF_GAP * W_INTERVAL_FUND / 100, 2)  (15.md)</t>
  </si>
  <si>
    <t xml:space="preserve">0.73</t>
  </si>
  <si>
    <t xml:space="preserve">C_HARR</t>
  </si>
  <si>
    <t xml:space="preserve">9 * round(W_HARR, 2) / 100  (15.md)</t>
  </si>
  <si>
    <t xml:space="preserve">0.21</t>
  </si>
  <si>
    <t xml:space="preserve">CORL_EXP_GAP</t>
  </si>
  <si>
    <t xml:space="preserve">round(BDC_CORLET_DISP, 2) - round(BDC_CORLET_EXP, 2)  (15.md)</t>
  </si>
  <si>
    <t xml:space="preserve">4.55</t>
  </si>
  <si>
    <t xml:space="preserve">C_CORL</t>
  </si>
  <si>
    <t xml:space="preserve">CORL_EXP_GAP * 5 / 100  (15.md)</t>
  </si>
  <si>
    <t xml:space="preserve">0.23</t>
  </si>
  <si>
    <t xml:space="preserve">TWO_COST</t>
  </si>
  <si>
    <t xml:space="preserve">HARR_COST + BDC_CORLET_COST  (15.md)</t>
  </si>
  <si>
    <t xml:space="preserve">$36,750</t>
  </si>
  <si>
    <t xml:space="preserve">DER_148</t>
  </si>
  <si>
    <t xml:space="preserve">round(C_HARR, 2) + round(C_CORL, 2)  (15.md)</t>
  </si>
  <si>
    <t xml:space="preserve">0.44</t>
  </si>
  <si>
    <t xml:space="preserve">DER_149</t>
  </si>
  <si>
    <t xml:space="preserve">PF_INC - IG_ALDERM_COST - HARR_REC  (16.md)</t>
  </si>
  <si>
    <t xml:space="preserve">$94,938</t>
  </si>
  <si>
    <t xml:space="preserve">Q6_DROP</t>
  </si>
  <si>
    <t xml:space="preserve">round(PF_Q4) - round(PF_Q6)  (16.md)</t>
  </si>
  <si>
    <t xml:space="preserve">$760</t>
  </si>
  <si>
    <t xml:space="preserve">DER_154</t>
  </si>
  <si>
    <t xml:space="preserve">round(PF_Q5) - round(PF_Q7)  (16.md)</t>
  </si>
  <si>
    <t xml:space="preserve">$229</t>
  </si>
  <si>
    <t xml:space="preserve">Q8_EX</t>
  </si>
  <si>
    <t xml:space="preserve">round(PF_Q8) - IG_ALDERM_COST  (16.md)</t>
  </si>
  <si>
    <t xml:space="preserve">$11,474</t>
  </si>
  <si>
    <t xml:space="preserve">Q10_EX</t>
  </si>
  <si>
    <t xml:space="preserve">round(PF_Q10) - HARR_REC  (16.md)</t>
  </si>
  <si>
    <t xml:space="preserve">$10,868</t>
  </si>
  <si>
    <t xml:space="preserve">DER_157</t>
  </si>
  <si>
    <t xml:space="preserve">Q8_EX - Q10_EX  (16.md)</t>
  </si>
  <si>
    <t xml:space="preserve">$606</t>
  </si>
  <si>
    <t xml:space="preserve">DER_159</t>
  </si>
  <si>
    <t xml:space="preserve">GAP_EFF  (16.md)</t>
  </si>
  <si>
    <t xml:space="preserve">DER_160</t>
  </si>
  <si>
    <t xml:space="preserve">GAP_EXP  (16.md)</t>
  </si>
  <si>
    <t xml:space="preserve">HARR_PORT_EFFECT</t>
  </si>
  <si>
    <t xml:space="preserve">round(PORT_IRR_ND, 2) - round(PORT_IRR, 2)  (16.md)</t>
  </si>
  <si>
    <t xml:space="preserve">0.61</t>
  </si>
  <si>
    <t xml:space="preserve">DER_163</t>
  </si>
  <si>
    <t xml:space="preserve">TWO_COST  (16.md)</t>
  </si>
  <si>
    <t xml:space="preserve">DER_167</t>
  </si>
  <si>
    <t xml:space="preserve">round(SC_RATES_GAIN) - round(SC_BASE_GAIN)  (17.md)</t>
  </si>
  <si>
    <t xml:space="preserve">$15,585</t>
  </si>
  <si>
    <t xml:space="preserve">DER_169</t>
  </si>
  <si>
    <t xml:space="preserve">(COST_IG + COST_HY) / BUDGET * 100  (17.md)</t>
  </si>
  <si>
    <t xml:space="preserve">39.6</t>
  </si>
  <si>
    <t xml:space="preserve">DER_170</t>
  </si>
  <si>
    <t xml:space="preserve">COST_LOAN_FUND + COST_BDC + COST_INTERVAL_FUND + COST_RESERVE  (17.md)</t>
  </si>
  <si>
    <t xml:space="preserve">$302,000</t>
  </si>
  <si>
    <t xml:space="preserve">DER_171</t>
  </si>
  <si>
    <t xml:space="preserve">(COST_LOAN_FUND + COST_BDC + COST_INTERVAL_FUND + COST_RESERVE) / BUDGET * 100  (17.md)</t>
  </si>
  <si>
    <t xml:space="preserve">60.4</t>
  </si>
  <si>
    <t xml:space="preserve">HY_SWING</t>
  </si>
  <si>
    <t xml:space="preserve">round(SC_BASE_HY, 2) - round(SC_RECESS_HY, 2)  (17.md)</t>
  </si>
  <si>
    <t xml:space="preserve">12.17</t>
  </si>
  <si>
    <t xml:space="preserve">DER_173</t>
  </si>
  <si>
    <t xml:space="preserve">round(SC_BASE_BDC, 2) - round(SC_RECESS_BDC, 2)  (17.md)</t>
  </si>
  <si>
    <t xml:space="preserve">6.71</t>
  </si>
  <si>
    <t xml:space="preserve">DER_174</t>
  </si>
  <si>
    <t xml:space="preserve">HY_SWING * round(W_HY, 1) / 100  (17.md)</t>
  </si>
  <si>
    <t xml:space="preserve">1.78</t>
  </si>
  <si>
    <t xml:space="preserve">DER_175</t>
  </si>
  <si>
    <t xml:space="preserve">round(SC_BASE_PORT, 2) - round(SC_RECESS_PORT, 2)  (17.md)</t>
  </si>
  <si>
    <t xml:space="preserve">3.36</t>
  </si>
  <si>
    <t xml:space="preserve">DER_176</t>
  </si>
  <si>
    <t xml:space="preserve">round(W_HY, 1) + round(W_BDC, 1)  (17.md)</t>
  </si>
  <si>
    <t xml:space="preserve">29.6</t>
  </si>
  <si>
    <t xml:space="preserve">DER_177</t>
  </si>
  <si>
    <t xml:space="preserve">round(SC_GATE_GAIN) - round(SC_BASE_GAIN)  (17.md)</t>
  </si>
  <si>
    <t xml:space="preserve">$3,439</t>
  </si>
  <si>
    <t xml:space="preserve">DER_178</t>
  </si>
  <si>
    <t xml:space="preserve">round(SC_BASE_GAIN) - round(SC_COMBO_GAIN)  (17.md)</t>
  </si>
  <si>
    <t xml:space="preserve">$22,018</t>
  </si>
  <si>
    <t xml:space="preserve">DER_179</t>
  </si>
  <si>
    <t xml:space="preserve">round(SC_BASE_GAIN) - round(SC_RECESS_GAIN)  (17.md)</t>
  </si>
  <si>
    <t xml:space="preserve">$47,601</t>
  </si>
  <si>
    <t xml:space="preserve">DER_197</t>
  </si>
  <si>
    <t xml:space="preserve">GAP_EFF  (20_conclusion.md)</t>
  </si>
  <si>
    <t xml:space="preserve">DER_198</t>
  </si>
  <si>
    <t xml:space="preserve">HARR_PORT_EFFECT  (20_conclusion.md)</t>
  </si>
  <si>
    <t xml:space="preserve">DER_205</t>
  </si>
  <si>
    <t xml:space="preserve">round(S_DISP_IG, 2) - round(S_EXP_IG, 2)  (05.md)</t>
  </si>
  <si>
    <t xml:space="preserve">0.08</t>
  </si>
  <si>
    <t xml:space="preserve">DER_206</t>
  </si>
  <si>
    <t xml:space="preserve">(IG_ALDERM_GAIN_L + IG_CARROW_GAIN_L + IG_HESKET_GAIN_L + IG_PENRIT_GAIN_L + IG_STANWI_GAIN_L) / SC_BASE_GAIN * 100  (05.md)</t>
  </si>
  <si>
    <t xml:space="preserve">21</t>
  </si>
  <si>
    <t xml:space="preserve">DER_207</t>
  </si>
  <si>
    <t xml:space="preserve">round(SC_BASE_IG, 2) - round(SC_RATES_IG, 2)  (05.md)</t>
  </si>
  <si>
    <t xml:space="preserve">0.75</t>
  </si>
  <si>
    <t xml:space="preserve">DER_222</t>
  </si>
  <si>
    <t xml:space="preserve">DER_173 * round(W_BDC, 1) / 100  (17.md)</t>
  </si>
  <si>
    <t xml:space="preserve">1.01</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</si>
  <si>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</si>
  <si>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</si>
  <si>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</si>
  <si>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</si>
  <si>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</si>
  <si>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</si>
  <si>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</si>
  <si>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</si>
  <si>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</si>
  <si>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</si>
  <si>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</si>
  <si>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</si>
  <si>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</si>
  <si>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</si>
  <si>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Assumptions</t>
  </si>
  <si>
    <t xml:space="preserve">RF: Risk-free rate (Treasury bills; base SOFR)</t>
  </si>
  <si>
    <t xml:space="preserve">HY_FACE: Face per bond</t>
  </si>
  <si>
    <t xml:space="preserve">REC_BOND: Recovery, senior unsecured bond</t>
  </si>
  <si>
    <t xml:space="preserve">REC_LOAN: Recovery, senior secured loan</t>
  </si>
  <si>
    <t xml:space="preserve">LF_SPREAD: Loan spread over SOFR</t>
  </si>
  <si>
    <t xml:space="preserve">LF_FEE: Fund expenses</t>
  </si>
  <si>
    <t xml:space="preserve">LF_NAV0: NAV per share at purchase</t>
  </si>
  <si>
    <t xml:space="preserve">IF_NAV0: NAV per share at purchase</t>
  </si>
  <si>
    <t xml:space="preserve">IF_CODS: Borrowing cost: SOFR plus</t>
  </si>
  <si>
    <t xml:space="preserve">IF_DIST: Distribution per share a quarter</t>
  </si>
  <si>
    <t xml:space="preserve">HARR_CPN: Harrowgate Pneumatics, coupon</t>
  </si>
  <si>
    <t xml:space="preserve">HARR_PX: Harrowgate Pneumatics, price</t>
  </si>
  <si>
    <t xml:space="preserve">BDC_LEDGER_PX: Ledgerwood Capital, share price at purchase</t>
  </si>
  <si>
    <t xml:space="preserve">BDC_LEDGER_LEV: Ledgerwood Capital, leverage (debt / equity)</t>
  </si>
  <si>
    <t xml:space="preserve">BDC_LEDGER_COD: Ledgerwood Capital, cost of debt</t>
  </si>
  <si>
    <t xml:space="preserve">BDC_LEDGER_BASE: Ledgerwood Capital, base fee on gross assets</t>
  </si>
  <si>
    <t xml:space="preserve">BDC_LEDGER_OPEX: Ledgerwood Capital, other expenses (of nav)</t>
  </si>
  <si>
    <t xml:space="preserve">BDC_LEDGER_INC: Ledgerwood Capital, incentive fee (of pre-incentive nii)</t>
  </si>
  <si>
    <t xml:space="preserve">BDC_LEDGER_LOSS: Ledgerwood Capital, nav credit losses a year</t>
  </si>
  <si>
    <t xml:space="preserve">BDC_LEDGER_DIV: Ledgerwood Capital, quarterly dividend per share</t>
  </si>
  <si>
    <t xml:space="preserve">BDC_LEDGER_NAV0: Ledgerwood Capital, nav per share at purchase</t>
  </si>
  <si>
    <t xml:space="preserve">BDC_TAMSIN_PX: Tamsin Lending, share price at purchase</t>
  </si>
  <si>
    <t xml:space="preserve">BDC_TAMSIN_LEV: Tamsin Lending, leverage (debt / equity)</t>
  </si>
  <si>
    <t xml:space="preserve">BDC_TAMSIN_COD: Tamsin Lending, cost of debt</t>
  </si>
  <si>
    <t xml:space="preserve">BDC_TAMSIN_BASE: Tamsin Lending, base fee on gross assets</t>
  </si>
  <si>
    <t xml:space="preserve">BDC_TAMSIN_OPEX: Tamsin Lending, other expenses (of nav)</t>
  </si>
  <si>
    <t xml:space="preserve">BDC_TAMSIN_INC: Tamsin Lending, incentive fee (of pre-incentive nii)</t>
  </si>
  <si>
    <t xml:space="preserve">BDC_TAMSIN_LOSS: Tamsin Lending, nav credit losses a year</t>
  </si>
  <si>
    <t xml:space="preserve">BDC_TAMSIN_DIV: Tamsin Lending, quarterly dividend per share</t>
  </si>
  <si>
    <t xml:space="preserve">BDC_TAMSIN_NAV0: Tamsin Lending, nav per share at purchase</t>
  </si>
  <si>
    <t xml:space="preserve">BDC_CORLET_PX: Corlett Credit, share price at purchase</t>
  </si>
  <si>
    <t xml:space="preserve">BDC_CORLET_LEV: Corlett Credit, leverage (debt / equity)</t>
  </si>
  <si>
    <t xml:space="preserve">BDC_CORLET_COD: Corlett Credit, cost of debt</t>
  </si>
  <si>
    <t xml:space="preserve">BDC_CORLET_BASE: Corlett Credit, base fee on gross assets</t>
  </si>
  <si>
    <t xml:space="preserve">BDC_CORLET_OPEX: Corlett Credit, other expenses (of nav)</t>
  </si>
  <si>
    <t xml:space="preserve">BDC_CORLET_INC: Corlett Credit, incentive fee (of pre-incentive nii)</t>
  </si>
  <si>
    <t xml:space="preserve">BDC_CORLET_LOSS: Corlett Credit, nav credit losses a year</t>
  </si>
  <si>
    <t xml:space="preserve">BDC_CORLET_DIV: Corlett Credit, quarterly dividend per share</t>
  </si>
  <si>
    <t xml:space="preserve">BDC_CORLET_NAV0: Corlett Credit, nav per share at purchase</t>
  </si>
  <si>
    <t xml:space="preserve">Allocation</t>
  </si>
  <si>
    <t xml:space="preserve">IG_ALDERM_DISP: Aldermoor Utilities, displayed yield</t>
  </si>
  <si>
    <t xml:space="preserve">IG_ALDERM_EXP: Aldermoor Utilities, expected yield</t>
  </si>
  <si>
    <t xml:space="preserve">IG_ALDERM_COST: Aldermoor Utilities, cost</t>
  </si>
  <si>
    <t xml:space="preserve">IG_CARROW_DISP: Carrow Rail, displayed yield</t>
  </si>
  <si>
    <t xml:space="preserve">IG_CARROW_EXP: Carrow Rail, expected yield</t>
  </si>
  <si>
    <t xml:space="preserve">IG_CARROW_COST: Carrow Rail, cost</t>
  </si>
  <si>
    <t xml:space="preserve">IG_HESKET_DISP: Hesketh Foods, displayed yield</t>
  </si>
  <si>
    <t xml:space="preserve">IG_HESKET_EXP: Hesketh Foods, expected yield</t>
  </si>
  <si>
    <t xml:space="preserve">IG_HESKET_COST: Hesketh Foods, cost</t>
  </si>
  <si>
    <t xml:space="preserve">IG_PENRIT_DISP: Penrith Medical, displayed yield</t>
  </si>
  <si>
    <t xml:space="preserve">IG_PENRIT_EXP: Penrith Medical, expected yield</t>
  </si>
  <si>
    <t xml:space="preserve">IG_PENRIT_COST: Penrith Medical, cost</t>
  </si>
  <si>
    <t xml:space="preserve">IG_STANWI_DISP: Stanwick Networks, displayed yield</t>
  </si>
  <si>
    <t xml:space="preserve">IG_STANWI_EXP: Stanwick Networks, expected yield</t>
  </si>
  <si>
    <t xml:space="preserve">IG_STANWI_COST: Stanwick Networks, cost</t>
  </si>
  <si>
    <t xml:space="preserve">HY_BLAKEN_DISP: Blakeney Packaging, displayed yield</t>
  </si>
  <si>
    <t xml:space="preserve">HY_BLAKEN_EXP: Blakeney Packaging, expected yield</t>
  </si>
  <si>
    <t xml:space="preserve">HY_BLAKEN_COST: Blakeney Packaging, cost</t>
  </si>
  <si>
    <t xml:space="preserve">HY_DUNMOR_DISP: Dunmore Leisure, displayed yield</t>
  </si>
  <si>
    <t xml:space="preserve">HY_DUNMOR_EXP: Dunmore Leisure, expected yield</t>
  </si>
  <si>
    <t xml:space="preserve">HY_DUNMOR_COST: Dunmore Leisure, cost</t>
  </si>
  <si>
    <t xml:space="preserve">HY_FENWIC_DISP: Fenwick Chemicals, displayed yield</t>
  </si>
  <si>
    <t xml:space="preserve">HY_FENWIC_EXP: Fenwick Chemicals, expected yield</t>
  </si>
  <si>
    <t xml:space="preserve">HY_FENWIC_COST: Fenwick Chemicals, cost</t>
  </si>
  <si>
    <t xml:space="preserve">HY_GARSID_DISP: Garside Auto Parts, displayed yield</t>
  </si>
  <si>
    <t xml:space="preserve">HY_GARSID_EXP: Garside Auto Parts, expected yield</t>
  </si>
  <si>
    <t xml:space="preserve">HY_GARSID_COST: Garside Auto Parts, cost</t>
  </si>
  <si>
    <t xml:space="preserve">HY_MARLOW_DISP: Marlow Home Brands, displayed yield</t>
  </si>
  <si>
    <t xml:space="preserve">HY_MARLOW_EXP: Marlow Home Brands, expected yield</t>
  </si>
  <si>
    <t xml:space="preserve">HY_MARLOW_COST: Marlow Home Brands, cost</t>
  </si>
  <si>
    <t xml:space="preserve">HY_HARROW_DISP: Harrowgate Pneumatics, displayed yield</t>
  </si>
  <si>
    <t xml:space="preserve">HY_HARROW_EXP: Harrowgate Pneumatics, expected yield</t>
  </si>
  <si>
    <t xml:space="preserve">HY_HARROW_COST: Harrowgate Pneumatics, cost</t>
  </si>
  <si>
    <t xml:space="preserve">LF_DISP: Brindle Floating Rate Fund, displayed yield</t>
  </si>
  <si>
    <t xml:space="preserve">LF_EXP: Brindle Floating Rate Fund, expected yield</t>
  </si>
  <si>
    <t xml:space="preserve">LF_COST: Brindle Floating Rate Fund, cost</t>
  </si>
  <si>
    <t xml:space="preserve">BDC_LEDGER_DISP: Ledgerwood Capital, displayed yield</t>
  </si>
  <si>
    <t xml:space="preserve">BDC_LEDGER_EXP: Ledgerwood Capital, expected yield</t>
  </si>
  <si>
    <t xml:space="preserve">BDC_LEDGER_COST: Ledgerwood Capital, cost</t>
  </si>
  <si>
    <t xml:space="preserve">BDC_TAMSIN_DISP: Tamsin Lending, displayed yield</t>
  </si>
  <si>
    <t xml:space="preserve">BDC_TAMSIN_EXP: Tamsin Lending, expected yield</t>
  </si>
  <si>
    <t xml:space="preserve">BDC_TAMSIN_COST: Tamsin Lending, cost</t>
  </si>
  <si>
    <t xml:space="preserve">BDC_CORLET_DISP: Corlett Credit, displayed yield</t>
  </si>
  <si>
    <t xml:space="preserve">BDC_CORLET_EXP: Corlett Credit, expected yield</t>
  </si>
  <si>
    <t xml:space="preserve">BDC_CORLET_COST: Corlett Credit, cost</t>
  </si>
  <si>
    <t xml:space="preserve">IF_DISP: Ashcombe Private Credit Interval Fund, displayed yield</t>
  </si>
  <si>
    <t xml:space="preserve">IF_EXP: Ashcombe Private Credit Interval Fund, expected yield</t>
  </si>
  <si>
    <t xml:space="preserve">IF_COST: Ashcombe Private Credit Interval Fund, cost</t>
  </si>
  <si>
    <t xml:space="preserve">RES_DISP: Treasury bills, displayed yield</t>
  </si>
  <si>
    <t xml:space="preserve">RES_EXP: Treasury bills, expected yield</t>
  </si>
  <si>
    <t xml:space="preserve">RES_COST: Treasury bills, cost</t>
  </si>
  <si>
    <t xml:space="preserve">PORT_DISP: Portfolio displayed yield (cost-weighted)</t>
  </si>
  <si>
    <t xml:space="preserve">PORT_EXP: Portfolio expected yield (cost-weighted)</t>
  </si>
  <si>
    <t xml:space="preserve">PORT_DISP_EFF: Portfolio displayed yield restated as an effective rate</t>
  </si>
  <si>
    <t xml:space="preserve">The seventeen lines add up to the budget</t>
  </si>
  <si>
    <t xml:space="preserve">holds</t>
  </si>
  <si>
    <t xml:space="preserve">Expected below displayed for the portfolio</t>
  </si>
  <si>
    <t xml:space="preserve">COST_IG: Sleeve IG, cost</t>
  </si>
  <si>
    <t xml:space="preserve">W_IG: Sleeve IG, share of the budget</t>
  </si>
  <si>
    <t xml:space="preserve">S_DISP_IG: Sleeve IG, displayed yield</t>
  </si>
  <si>
    <t xml:space="preserve">S_EXP_IG: Sleeve IG, expected yield</t>
  </si>
  <si>
    <t xml:space="preserve">COST_HY: Sleeve HY, cost</t>
  </si>
  <si>
    <t xml:space="preserve">W_HY: Sleeve HY, share of the budget</t>
  </si>
  <si>
    <t xml:space="preserve">S_DISP_HY: Sleeve HY, displayed yield</t>
  </si>
  <si>
    <t xml:space="preserve">S_EXP_HY: Sleeve HY, expected yield</t>
  </si>
  <si>
    <t xml:space="preserve">COST_LOAN_FUND: Sleeve Loan fund, cost</t>
  </si>
  <si>
    <t xml:space="preserve">W_LOAN_FUND: Sleeve Loan fund, share of the budget</t>
  </si>
  <si>
    <t xml:space="preserve">S_DISP_LOAN_FUND: Sleeve Loan fund, displayed yield</t>
  </si>
  <si>
    <t xml:space="preserve">S_EXP_LOAN_FUND: Sleeve Loan fund, expected yield</t>
  </si>
  <si>
    <t xml:space="preserve">COST_BDC: Sleeve BDC, cost</t>
  </si>
  <si>
    <t xml:space="preserve">W_BDC: Sleeve BDC, share of the budget</t>
  </si>
  <si>
    <t xml:space="preserve">S_DISP_BDC: Sleeve BDC, displayed yield</t>
  </si>
  <si>
    <t xml:space="preserve">S_EXP_BDC: Sleeve BDC, expected yield</t>
  </si>
  <si>
    <t xml:space="preserve">COST_INTERVAL_FUND: Sleeve Interval fund, cost</t>
  </si>
  <si>
    <t xml:space="preserve">W_INTERVAL_FUND: Sleeve Interval fund, share of the budget</t>
  </si>
  <si>
    <t xml:space="preserve">S_DISP_INTERVAL_FUND: Sleeve Interval fund, displayed yield</t>
  </si>
  <si>
    <t xml:space="preserve">S_EXP_INTERVAL_FUND: Sleeve Interval fund, expected yield</t>
  </si>
  <si>
    <t xml:space="preserve">COST_RESERVE: Sleeve Reserve, cost</t>
  </si>
  <si>
    <t xml:space="preserve">W_RESERVE: Sleeve Reserve, share of the budget</t>
  </si>
  <si>
    <t xml:space="preserve">S_DISP_RESERVE: Sleeve Reserve, displayed yield</t>
  </si>
  <si>
    <t xml:space="preserve">S_EXP_RESERVE: Sleeve Reserve, expected yield</t>
  </si>
  <si>
    <t xml:space="preserve">BUDGET: Budget</t>
  </si>
  <si>
    <t xml:space="preserve">HY_COST_2: HY sleeve cost (face $75,000 bought below 100)</t>
  </si>
  <si>
    <t xml:space="preserve">RESERVE: Reserve: what is left</t>
  </si>
  <si>
    <t xml:space="preserve">W_MAX: Largest line: the interval fund, share of the budget</t>
  </si>
  <si>
    <t xml:space="preserve">HARR_COST: Smallest line: Harrowgate Pneumatics, cost</t>
  </si>
  <si>
    <t xml:space="preserve">W_HARR: Harrowgate Pneumatics, share of the budget</t>
  </si>
  <si>
    <t xml:space="preserve">The interval fund is the largest line and Harrowgate the smallest</t>
  </si>
  <si>
    <t xml:space="preserve">Base: the six sleeves add up to the portfolio, quarter by quarter</t>
  </si>
  <si>
    <t xml:space="preserve">Base: IRR of every line is a number</t>
  </si>
  <si>
    <t xml:space="preserve">Rates_Up_2</t>
  </si>
  <si>
    <t xml:space="preserve">Rates up 2 points: the six sleeves add up to the portfolio, quarter by quarter</t>
  </si>
  <si>
    <t xml:space="preserve">Rates up 2 points: IRR of every line is a number</t>
  </si>
  <si>
    <t xml:space="preserve">Recession: the six sleeves add up to the portfolio, quarter by quarter</t>
  </si>
  <si>
    <t xml:space="preserve">Recession: IRR of every line is a number</t>
  </si>
  <si>
    <t xml:space="preserve">Combined</t>
  </si>
  <si>
    <t xml:space="preserve">Rates up and recession: the six sleeves add up to the portfolio, quarter by quarter</t>
  </si>
  <si>
    <t xml:space="preserve">Rates up and recession: IRR of every line is a number</t>
  </si>
  <si>
    <t xml:space="preserve">Gate_Only</t>
  </si>
  <si>
    <t xml:space="preserve">Gate only: the six sleeves add up to the portfolio, quarter by quarter</t>
  </si>
  <si>
    <t xml:space="preserve">Gate only: IRR of every line is a number</t>
  </si>
  <si>
    <t xml:space="preserve">No_Default</t>
  </si>
  <si>
    <t xml:space="preserve">No default: the six sleeves add up to the portfolio, quarter by quarter</t>
  </si>
  <si>
    <t xml:space="preserve">No default: IRR of every line is a number</t>
  </si>
  <si>
    <t xml:space="preserve">Corlett_Minus_35</t>
  </si>
  <si>
    <t xml:space="preserve">Corlett at -35% at quarter 12: the six sleeves add up to the portfolio, quarter by quarter</t>
  </si>
  <si>
    <t xml:space="preserve">Corlett at -35% at quarter 12: IRR of every line is a number</t>
  </si>
  <si>
    <t xml:space="preserve">Base_Quarterly</t>
  </si>
  <si>
    <t xml:space="preserve">PF_Q0: Net cash flow, quarter 0</t>
  </si>
  <si>
    <t xml:space="preserve">PF_CUM0: Cumulative, quarter 0</t>
  </si>
  <si>
    <t xml:space="preserve">PF_Q1: Net cash flow, quarter 1</t>
  </si>
  <si>
    <t xml:space="preserve">PF_CUM1: Cumulative, quarter 1</t>
  </si>
  <si>
    <t xml:space="preserve">PF_Q2: Net cash flow, quarter 2</t>
  </si>
  <si>
    <t xml:space="preserve">PF_CUM2: Cumulative, quarter 2</t>
  </si>
  <si>
    <t xml:space="preserve">PF_Q3: Net cash flow, quarter 3</t>
  </si>
  <si>
    <t xml:space="preserve">PF_CUM3: Cumulative, quarter 3</t>
  </si>
  <si>
    <t xml:space="preserve">PF_Q4: Net cash flow, quarter 4</t>
  </si>
  <si>
    <t xml:space="preserve">PF_CUM4: Cumulative, quarter 4</t>
  </si>
  <si>
    <t xml:space="preserve">PF_Q5: Net cash flow, quarter 5</t>
  </si>
  <si>
    <t xml:space="preserve">PF_CUM5: Cumulative, quarter 5</t>
  </si>
  <si>
    <t xml:space="preserve">PF_Q6: Net cash flow, quarter 6</t>
  </si>
  <si>
    <t xml:space="preserve">PF_CUM6: Cumulative, quarter 6</t>
  </si>
  <si>
    <t xml:space="preserve">PF_Q7: Net cash flow, quarter 7</t>
  </si>
  <si>
    <t xml:space="preserve">PF_CUM7: Cumulative, quarter 7</t>
  </si>
  <si>
    <t xml:space="preserve">PF_Q8: Net cash flow, quarter 8</t>
  </si>
  <si>
    <t xml:space="preserve">PF_CUM8: Cumulative, quarter 8</t>
  </si>
  <si>
    <t xml:space="preserve">PF_Q9: Net cash flow, quarter 9</t>
  </si>
  <si>
    <t xml:space="preserve">PF_CUM9: Cumulative, quarter 9</t>
  </si>
  <si>
    <t xml:space="preserve">PF_Q10: Net cash flow, quarter 10</t>
  </si>
  <si>
    <t xml:space="preserve">PF_CUM10: Cumulative, quarter 10</t>
  </si>
  <si>
    <t xml:space="preserve">PF_Q11: Net cash flow, quarter 11</t>
  </si>
  <si>
    <t xml:space="preserve">PF_CUM11: Cumulative, quarter 11</t>
  </si>
  <si>
    <t xml:space="preserve">PF_Q12: Net cash flow, quarter 12</t>
  </si>
  <si>
    <t xml:space="preserve">PF_CUM12: Cumulative, quarter 12</t>
  </si>
  <si>
    <t xml:space="preserve">PF_Q12_2: Net cash flow, quarter 12</t>
  </si>
  <si>
    <t xml:space="preserve">PF_INC: Income received in quarters 1 to 11</t>
  </si>
  <si>
    <t xml:space="preserve">PF_GAIN: Total gain over three years</t>
  </si>
  <si>
    <t xml:space="preserve">PORT_IRR: Portfolio IRR, base</t>
  </si>
  <si>
    <t xml:space="preserve">PORT_DISP_2: Displayed (cost-weighted)</t>
  </si>
  <si>
    <t xml:space="preserve">PORT_DISP_EFF_2: Displayed, effective</t>
  </si>
  <si>
    <t xml:space="preserve">PORT_EXP_2: Expected</t>
  </si>
  <si>
    <t xml:space="preserve">PORT_IRR_ND: Portfolio IRR without the Harrowgate default</t>
  </si>
  <si>
    <t xml:space="preserve">HARR_REC: Harrowgate recovery received at quarter 10 (face x recovery)</t>
  </si>
  <si>
    <t xml:space="preserve">HARR_PNL: Harrowgate: dollar result (sum of its flows)</t>
  </si>
  <si>
    <t xml:space="preserve">HARR_REC_2: Harrowgate recovery received at quarter 10 (face x recovery)</t>
  </si>
  <si>
    <t xml:space="preserve">Nothing flows after quarter 12 in the base case</t>
  </si>
  <si>
    <t xml:space="preserve">Base IRR below the displayed yield</t>
  </si>
  <si>
    <t xml:space="preserve">Review</t>
  </si>
  <si>
    <t xml:space="preserve">IG_ALDERM_DISP_L: Aldermoor Utilities, displayed</t>
  </si>
  <si>
    <t xml:space="preserve">IG_ALDERM_GAIN_L: Aldermoor Utilities, gain</t>
  </si>
  <si>
    <t xml:space="preserve">IG_ALDERM_SHORT: Aldermoor Utilities, shortfall points x weight</t>
  </si>
  <si>
    <t xml:space="preserve">IG_ALDERM_IRR_L: Aldermoor Utilities, realized IRR</t>
  </si>
  <si>
    <t xml:space="preserve">IG_CARROW_DISP_L: Carrow Rail, displayed</t>
  </si>
  <si>
    <t xml:space="preserve">IG_CARROW_GAIN_L: Carrow Rail, gain</t>
  </si>
  <si>
    <t xml:space="preserve">IG_CARROW_SHORT: Carrow Rail, shortfall points x weight</t>
  </si>
  <si>
    <t xml:space="preserve">IG_CARROW_IRR_L: Carrow Rail, realized IRR</t>
  </si>
  <si>
    <t xml:space="preserve">IG_HESKET_DISP_L: Hesketh Foods, displayed</t>
  </si>
  <si>
    <t xml:space="preserve">IG_HESKET_GAIN_L: Hesketh Foods, gain</t>
  </si>
  <si>
    <t xml:space="preserve">IG_HESKET_SHORT: Hesketh Foods, shortfall points x weight</t>
  </si>
  <si>
    <t xml:space="preserve">IG_HESKET_IRR_L: Hesketh Foods, realized IRR</t>
  </si>
  <si>
    <t xml:space="preserve">IG_PENRIT_DISP_L: Penrith Medical, displayed</t>
  </si>
  <si>
    <t xml:space="preserve">IG_PENRIT_GAIN_L: Penrith Medical, gain</t>
  </si>
  <si>
    <t xml:space="preserve">IG_PENRIT_SHORT: Penrith Medical, shortfall points x weight</t>
  </si>
  <si>
    <t xml:space="preserve">IG_PENRIT_IRR_L: Penrith Medical, realized IRR</t>
  </si>
  <si>
    <t xml:space="preserve">IG_STANWI_DISP_L: Stanwick Networks, displayed</t>
  </si>
  <si>
    <t xml:space="preserve">IG_STANWI_GAIN_L: Stanwick Networks, gain</t>
  </si>
  <si>
    <t xml:space="preserve">IG_STANWI_SHORT: Stanwick Networks, shortfall points x weight</t>
  </si>
  <si>
    <t xml:space="preserve">IG_STANWI_IRR_L: Stanwick Networks, realized IRR</t>
  </si>
  <si>
    <t xml:space="preserve">HY_BLAKEN_DISP_L: Blakeney Packaging, displayed</t>
  </si>
  <si>
    <t xml:space="preserve">HY_BLAKEN_GAIN_L: Blakeney Packaging, gain</t>
  </si>
  <si>
    <t xml:space="preserve">HY_BLAKEN_SHORT: Blakeney Packaging, shortfall points x weight</t>
  </si>
  <si>
    <t xml:space="preserve">HY_BLAKEN_IRR_L: Blakeney Packaging, realized IRR</t>
  </si>
  <si>
    <t xml:space="preserve">HY_DUNMOR_DISP_L: Dunmore Leisure, displayed</t>
  </si>
  <si>
    <t xml:space="preserve">HY_DUNMOR_GAIN_L: Dunmore Leisure, gain</t>
  </si>
  <si>
    <t xml:space="preserve">HY_DUNMOR_SHORT: Dunmore Leisure, shortfall points x weight</t>
  </si>
  <si>
    <t xml:space="preserve">HY_DUNMOR_IRR_L: Dunmore Leisure, realized IRR</t>
  </si>
  <si>
    <t xml:space="preserve">HY_FENWIC_DISP_L: Fenwick Chemicals, displayed</t>
  </si>
  <si>
    <t xml:space="preserve">HY_FENWIC_GAIN_L: Fenwick Chemicals, gain</t>
  </si>
  <si>
    <t xml:space="preserve">HY_FENWIC_SHORT: Fenwick Chemicals, shortfall points x weight</t>
  </si>
  <si>
    <t xml:space="preserve">HY_FENWIC_IRR_L: Fenwick Chemicals, realized IRR</t>
  </si>
  <si>
    <t xml:space="preserve">HY_GARSID_DISP_L: Garside Auto Parts, displayed</t>
  </si>
  <si>
    <t xml:space="preserve">HY_GARSID_GAIN_L: Garside Auto Parts, gain</t>
  </si>
  <si>
    <t xml:space="preserve">HY_GARSID_SHORT: Garside Auto Parts, shortfall points x weight</t>
  </si>
  <si>
    <t xml:space="preserve">HY_GARSID_IRR_L: Garside Auto Parts, realized IRR</t>
  </si>
  <si>
    <t xml:space="preserve">HY_MARLOW_DISP_L: Marlow Home Brands, displayed</t>
  </si>
  <si>
    <t xml:space="preserve">HY_MARLOW_GAIN_L: Marlow Home Brands, gain</t>
  </si>
  <si>
    <t xml:space="preserve">HY_MARLOW_SHORT: Marlow Home Brands, shortfall points x weight</t>
  </si>
  <si>
    <t xml:space="preserve">HY_MARLOW_IRR_L: Marlow Home Brands, realized IRR</t>
  </si>
  <si>
    <t xml:space="preserve">HY_HARROW_DISP_L: Harrowgate Pneumatics, displayed</t>
  </si>
  <si>
    <t xml:space="preserve">HY_HARROW_GAIN_L: Harrowgate Pneumatics, gain</t>
  </si>
  <si>
    <t xml:space="preserve">HY_HARROW_SHORT: Harrowgate Pneumatics, shortfall points x weight</t>
  </si>
  <si>
    <t xml:space="preserve">HY_HARROW_IRR_L: Harrowgate Pneumatics, realized IRR</t>
  </si>
  <si>
    <t xml:space="preserve">LF_DISP_L: Brindle Floating Rate Fund, displayed</t>
  </si>
  <si>
    <t xml:space="preserve">LF_GAIN_L: Brindle Floating Rate Fund, gain</t>
  </si>
  <si>
    <t xml:space="preserve">LF_SHORT: Brindle Floating Rate Fund, shortfall points x weight</t>
  </si>
  <si>
    <t xml:space="preserve">LF_IRR_L: Brindle Floating Rate Fund, realized IRR</t>
  </si>
  <si>
    <t xml:space="preserve">BDC_LEDGER_DISP_L: Ledgerwood Capital, displayed</t>
  </si>
  <si>
    <t xml:space="preserve">BDC_LEDGER_GAIN_L: Ledgerwood Capital, gain</t>
  </si>
  <si>
    <t xml:space="preserve">BDC_LEDGER_SHORT: Ledgerwood Capital, shortfall points x weight</t>
  </si>
  <si>
    <t xml:space="preserve">BDC_LEDGER_IRR_L: Ledgerwood Capital, realized IRR</t>
  </si>
  <si>
    <t xml:space="preserve">BDC_TAMSIN_DISP_L: Tamsin Lending, displayed</t>
  </si>
  <si>
    <t xml:space="preserve">BDC_TAMSIN_GAIN_L: Tamsin Lending, gain</t>
  </si>
  <si>
    <t xml:space="preserve">BDC_TAMSIN_SHORT: Tamsin Lending, shortfall points x weight</t>
  </si>
  <si>
    <t xml:space="preserve">BDC_TAMSIN_IRR_L: Tamsin Lending, realized IRR</t>
  </si>
  <si>
    <t xml:space="preserve">BDC_CORLET_DISP_L: Corlett Credit, displayed</t>
  </si>
  <si>
    <t xml:space="preserve">BDC_CORLET_GAIN_L: Corlett Credit, gain</t>
  </si>
  <si>
    <t xml:space="preserve">BDC_CORLET_SHORT: Corlett Credit, shortfall points x weight</t>
  </si>
  <si>
    <t xml:space="preserve">BDC_CORLET_IRR_L: Corlett Credit, realized IRR</t>
  </si>
  <si>
    <t xml:space="preserve">IF_DISP_L: Ashcombe Private Credit Interval Fund, displayed</t>
  </si>
  <si>
    <t xml:space="preserve">IF_GAIN_L: Ashcombe Private Credit Interval Fund, gain</t>
  </si>
  <si>
    <t xml:space="preserve">IF_SHORT: Ashcombe Private Credit Interval Fund, shortfall points x weight</t>
  </si>
  <si>
    <t xml:space="preserve">IF_IRR_L: Ashcombe Private Credit Interval Fund, realized IRR</t>
  </si>
  <si>
    <t xml:space="preserve">RES_DISP_L: Treasury bills, displayed</t>
  </si>
  <si>
    <t xml:space="preserve">RES_GAIN_L: Treasury bills, gain</t>
  </si>
  <si>
    <t xml:space="preserve">RES_SHORT: Treasury bills, shortfall points x weight</t>
  </si>
  <si>
    <t xml:space="preserve">RES_IRR: Treasury bills, realized IRR</t>
  </si>
  <si>
    <t xml:space="preserve">SHORT_SUM: Sum of the weighted shortfalls</t>
  </si>
  <si>
    <t xml:space="preserve">GAP: Portfolio displayed yield minus portfolio IRR (IRRs do not add)</t>
  </si>
  <si>
    <t xml:space="preserve">TWO_W: Harrowgate and Corlett: share of the money</t>
  </si>
  <si>
    <t xml:space="preserve">TWO_SHORT: Their weighted shortfall</t>
  </si>
  <si>
    <t xml:space="preserve">TWO_SHARE: Their share of the total</t>
  </si>
  <si>
    <t xml:space="preserve">SL_IRR_LOAN_FUND: Sleeve Loan fund</t>
  </si>
  <si>
    <t xml:space="preserve">SL_IRR_INTERVAL_FUND: Sleeve Interval fund</t>
  </si>
  <si>
    <t xml:space="preserve">SL_IRR_RESERVE: Sleeve Reserve</t>
  </si>
  <si>
    <t xml:space="preserve">IG_SLEEVE_IRR: Sleeve IG</t>
  </si>
  <si>
    <t xml:space="preserve">HY_SLEEVE_IRR: Sleeve HY</t>
  </si>
  <si>
    <t xml:space="preserve">BDC_SLEEVE_IRR: Sleeve BDC</t>
  </si>
  <si>
    <t xml:space="preserve">The IG sleeve and the reserve earn slightly more than displayed (effective compounding)</t>
  </si>
  <si>
    <t xml:space="preserve">Stress_Test</t>
  </si>
  <si>
    <t xml:space="preserve">SC_BASE_PORT: Base: portfolio IRR</t>
  </si>
  <si>
    <t xml:space="preserve">SC_BASE_GAIN: Base: total gain</t>
  </si>
  <si>
    <t xml:space="preserve">SC_BASE_IG: Base: sleeve IG IRR</t>
  </si>
  <si>
    <t xml:space="preserve">SC_BASE_HY: Base: sleeve HY IRR</t>
  </si>
  <si>
    <t xml:space="preserve">SC_BASE_LOAN_FUND: Base: sleeve Loan fund IRR</t>
  </si>
  <si>
    <t xml:space="preserve">SC_BASE_BDC: Base: sleeve BDC IRR</t>
  </si>
  <si>
    <t xml:space="preserve">SC_BASE_INTERVAL_FUND: Base: sleeve Interval fund IRR</t>
  </si>
  <si>
    <t xml:space="preserve">SC_BASE_RESERVE: Base: sleeve Reserve IRR</t>
  </si>
  <si>
    <t xml:space="preserve">SC_RATES_PORT: Rates up 2 points: portfolio IRR</t>
  </si>
  <si>
    <t xml:space="preserve">SC_RATES_GAIN: Rates up 2 points: total gain</t>
  </si>
  <si>
    <t xml:space="preserve">SC_RATES_IG: Rates up 2 points: sleeve IG IRR</t>
  </si>
  <si>
    <t xml:space="preserve">SC_RATES_HY: Rates up 2 points: sleeve HY IRR</t>
  </si>
  <si>
    <t xml:space="preserve">SC_RATES_LOAN_FUND: Rates up 2 points: sleeve Loan fund IRR</t>
  </si>
  <si>
    <t xml:space="preserve">SC_RATES_BDC: Rates up 2 points: sleeve BDC IRR</t>
  </si>
  <si>
    <t xml:space="preserve">SC_RATES_INTERVAL_FUND: Rates up 2 points: sleeve Interval fund IRR</t>
  </si>
  <si>
    <t xml:space="preserve">SC_RATES_RESERVE: Rates up 2 points: sleeve Reserve IRR</t>
  </si>
  <si>
    <t xml:space="preserve">SC_RECESS_PORT: Recession: portfolio IRR</t>
  </si>
  <si>
    <t xml:space="preserve">SC_RECESS_GAIN: Recession: total gain</t>
  </si>
  <si>
    <t xml:space="preserve">SC_RECESS_IG: Recession: sleeve IG IRR</t>
  </si>
  <si>
    <t xml:space="preserve">SC_RECESS_HY: Recession: sleeve HY IRR</t>
  </si>
  <si>
    <t xml:space="preserve">SC_RECESS_LOAN_FUND: Recession: sleeve Loan fund IRR</t>
  </si>
  <si>
    <t xml:space="preserve">SC_RECESS_BDC: Recession: sleeve BDC IRR</t>
  </si>
  <si>
    <t xml:space="preserve">SC_RECESS_INTERVAL_FUND: Recession: sleeve Interval fund IRR</t>
  </si>
  <si>
    <t xml:space="preserve">SC_RECESS_RESERVE: Recession: sleeve Reserve IRR</t>
  </si>
  <si>
    <t xml:space="preserve">SC_COMBO_PORT: Rates up and recession: portfolio IRR</t>
  </si>
  <si>
    <t xml:space="preserve">SC_COMBO_GAIN: Rates up and recession: total gain</t>
  </si>
  <si>
    <t xml:space="preserve">SC_COMBO_IG: Rates up and recession: sleeve IG IRR</t>
  </si>
  <si>
    <t xml:space="preserve">SC_COMBO_HY: Rates up and recession: sleeve HY IRR</t>
  </si>
  <si>
    <t xml:space="preserve">SC_COMBO_LOAN_FUND: Rates up and recession: sleeve Loan fund IRR</t>
  </si>
  <si>
    <t xml:space="preserve">SC_COMBO_BDC: Rates up and recession: sleeve BDC IRR</t>
  </si>
  <si>
    <t xml:space="preserve">SC_COMBO_INTERVAL_FUND: Rates up and recession: sleeve Interval fund IRR</t>
  </si>
  <si>
    <t xml:space="preserve">SC_COMBO_RESERVE: Rates up and recession: sleeve Reserve IRR</t>
  </si>
  <si>
    <t xml:space="preserve">SC_GATE_PORT: Gate only: portfolio IRR</t>
  </si>
  <si>
    <t xml:space="preserve">SC_GATE_GAIN: Gate only: total gain</t>
  </si>
  <si>
    <t xml:space="preserve">SC_GATE_IG: Gate only: sleeve IG IRR</t>
  </si>
  <si>
    <t xml:space="preserve">SC_GATE_HY: Gate only: sleeve HY IRR</t>
  </si>
  <si>
    <t xml:space="preserve">SC_GATE_LOAN_FUND: Gate only: sleeve Loan fund IRR</t>
  </si>
  <si>
    <t xml:space="preserve">SC_GATE_BDC: Gate only: sleeve BDC IRR</t>
  </si>
  <si>
    <t xml:space="preserve">SC_GATE_INTERVAL_FUND: Gate only: sleeve Interval fund IRR</t>
  </si>
  <si>
    <t xml:space="preserve">SC_GATE_RESERVE: Gate only: sleeve Reserve IRR</t>
  </si>
  <si>
    <t xml:space="preserve">PORT_CORL35: Corlett at -35% at quarter 12: portfolio IRR</t>
  </si>
  <si>
    <t xml:space="preserve">PORT_IRR_GATE: Gate only: portfolio IRR</t>
  </si>
  <si>
    <t xml:space="preserve">PORT_IRR_BASE_2: Base: portfolio IRR</t>
  </si>
  <si>
    <t xml:space="preserve">The recession is the worst of the four stress scenarios</t>
  </si>
  <si>
    <t xml:space="preserve">The gate barely moves the IRR (less than half a point)</t>
  </si>
  <si>
    <t xml:space="preserve">LF_IRR_RATES: Rates up 2 points: sleeve Loan fund IRR</t>
  </si>
  <si>
    <t xml:space="preserve">LF_IRR_REC: Recession: sleeve Loan fund IRR</t>
  </si>
  <si>
    <t xml:space="preserve">IF_IRR_RATES: Rates up 2 points: sleeve Interval fund IRR</t>
  </si>
  <si>
    <t xml:space="preserve">IF_IRR_REC: Recession: sleeve Interval fund IRR</t>
  </si>
  <si>
    <t xml:space="preserve">IG_SLEEVE_IRR_RATES: Rates up 2 points: sleeve IG IRR</t>
  </si>
  <si>
    <t xml:space="preserve">Dashboard</t>
  </si>
  <si>
    <t xml:space="preserve">CORL_COV4: Corlett Credit coverage, quarter 4</t>
  </si>
  <si>
    <t xml:space="preserve">CORL_COV8: Corlett Credit coverage, quarter 8</t>
  </si>
  <si>
    <t xml:space="preserve">BDC_CORLET_NAV4: Corlett Credit NAV per share, quarter 4</t>
  </si>
  <si>
    <t xml:space="preserve">BDC_CORLET_NAV8: Corlett Credit NAV per share, quarter 8</t>
  </si>
  <si>
    <t xml:space="preserve">LEDG_COV4: Ledgerwood Capital coverage, quarter 4</t>
  </si>
  <si>
    <t xml:space="preserve">LEDG_COV8: Ledgerwood Capital coverage, quarter 8</t>
  </si>
  <si>
    <t xml:space="preserve">TAMS_COV4: Tamsin Lending coverage, quarter 4</t>
  </si>
  <si>
    <t xml:space="preserve">TAMS_COV8: Tamsin Lending coverage, quarter 8</t>
  </si>
  <si>
    <t xml:space="preserve">IF_NAV4: Interval fund NAV per share, quarter 4</t>
  </si>
  <si>
    <t xml:space="preserve">IF_NAV8: Interval fund NAV per share, quarter 8</t>
  </si>
  <si>
    <t xml:space="preserve">IF_COV4: Interval fund NII coverage of the distribution, quarter 4</t>
  </si>
  <si>
    <t xml:space="preserve">IF_COV8: Interval fund NII coverage of the distribution, quarter 8</t>
  </si>
  <si>
    <t xml:space="preserve">LF_NAV4: Loan fund NAV per share, quarter 4</t>
  </si>
  <si>
    <t xml:space="preserve">LF_NAV8: Loan fund NAV per share, quarter 8</t>
  </si>
  <si>
    <t xml:space="preserve">CORL_NAVFALL4: Corlett Credit: fall in NAV per share in year one</t>
  </si>
  <si>
    <t xml:space="preserve">LEDG_NAVFALL4: Ledgerwood Capital: fall in NAV per share in year one</t>
  </si>
  <si>
    <t xml:space="preserve">Derived</t>
  </si>
  <si>
    <t xml:space="preserve">GAP_EFF: round(PORT_DISP_EFF, 2) - round(PORT_IRR, 2)</t>
  </si>
  <si>
    <t xml:space="preserve">GAP_EXP: round(PORT_EXP, 2) - round(PORT_IRR, 2)</t>
  </si>
  <si>
    <t xml:space="preserve">HY_EXP_GAP: round(S_DISP_HY, 2) - round(S_EXP_HY, 2)</t>
  </si>
  <si>
    <t xml:space="preserve">HY_SURV_GAIN: round(HY_BLAKEN_GAIN_L) + round(HY_DUNMOR_GAIN_L) + round(HY_FENWIC_GAIN_L) + round(HY_GARSID_GAIN_L) + round(HY_MARLOW_GAIN_L)</t>
  </si>
  <si>
    <t xml:space="preserve">DER_041: HY_SURV_GAIN + round(HARR_PNL)</t>
  </si>
  <si>
    <t xml:space="preserve">LF_EXP_Q: round(LF_EXP, 2) / 4</t>
  </si>
  <si>
    <t xml:space="preserve">DER_057: 1 + LF_EXP_Q / 100</t>
  </si>
  <si>
    <t xml:space="preserve">DER_058: (1 + LF_EXP_Q / 100) ** 4</t>
  </si>
  <si>
    <t xml:space="preserve">IF_GAP: round(IF_DISP, 2) - round(IF_EXP, 2)</t>
  </si>
  <si>
    <t xml:space="preserve">DER_103: IF_GAP * 3</t>
  </si>
  <si>
    <t xml:space="preserve">DER_130: round(PORT_DISP, 2) - RF</t>
  </si>
  <si>
    <t xml:space="preserve">DER_131: round(PORT_IRR, 2) - RF</t>
  </si>
  <si>
    <t xml:space="preserve">DER_136: COST_LOAN_FUND + COST_BDC + COST_INTERVAL_FUND</t>
  </si>
  <si>
    <t xml:space="preserve">DER_137: (round(S_DISP_IG, 2) - round(S_EXP_IG, 2)) * W_IG / 100</t>
  </si>
  <si>
    <t xml:space="preserve">DER_138: HY_EXP_GAP</t>
  </si>
  <si>
    <t xml:space="preserve">C_HY: HY_EXP_GAP * round(W_HY, 1) / 100</t>
  </si>
  <si>
    <t xml:space="preserve">C_BDC: (round(S_DISP_BDC, 2) - round(S_EXP_BDC, 2)) * W_BDC / 100</t>
  </si>
  <si>
    <t xml:space="preserve">DER_142: IF_GAP</t>
  </si>
  <si>
    <t xml:space="preserve">DER_143: round(C_HY, 2) + round(IF_GAP * W_INTERVAL_FUND / 100, 2)</t>
  </si>
  <si>
    <t xml:space="preserve">C_HARR: 9 * round(W_HARR, 2) / 100</t>
  </si>
  <si>
    <t xml:space="preserve">CORL_EXP_GAP: round(BDC_CORLET_DISP, 2) - round(BDC_CORLET_EXP, 2)</t>
  </si>
  <si>
    <t xml:space="preserve">C_CORL: CORL_EXP_GAP * 5 / 100</t>
  </si>
  <si>
    <t xml:space="preserve">TWO_COST: HARR_COST + BDC_CORLET_COST</t>
  </si>
  <si>
    <t xml:space="preserve">DER_148: round(C_HARR, 2) + round(C_CORL, 2)</t>
  </si>
  <si>
    <t xml:space="preserve">DER_149: PF_INC - IG_ALDERM_COST - HARR_REC</t>
  </si>
  <si>
    <t xml:space="preserve">Q6_DROP: round(PF_Q4) - round(PF_Q6)</t>
  </si>
  <si>
    <t xml:space="preserve">DER_154: round(PF_Q5) - round(PF_Q7)</t>
  </si>
  <si>
    <t xml:space="preserve">Q8_EX: round(PF_Q8) - IG_ALDERM_COST</t>
  </si>
  <si>
    <t xml:space="preserve">Q10_EX: round(PF_Q10) - HARR_REC</t>
  </si>
  <si>
    <t xml:space="preserve">DER_157: Q8_EX - Q10_EX</t>
  </si>
  <si>
    <t xml:space="preserve">DER_159: GAP_EFF</t>
  </si>
  <si>
    <t xml:space="preserve">DER_160: GAP_EXP</t>
  </si>
  <si>
    <t xml:space="preserve">HARR_PORT_EFFECT: round(PORT_IRR_ND, 2) - round(PORT_IRR, 2)</t>
  </si>
  <si>
    <t xml:space="preserve">DER_163: TWO_COST</t>
  </si>
  <si>
    <t xml:space="preserve">DER_167: round(SC_RATES_GAIN) - round(SC_BASE_GAIN)</t>
  </si>
  <si>
    <t xml:space="preserve">DER_169: (COST_IG + COST_HY) / BUDGET * 100</t>
  </si>
  <si>
    <t xml:space="preserve">DER_170: COST_LOAN_FUND + COST_BDC + COST_INTERVAL_FUND + COST_RESERVE</t>
  </si>
  <si>
    <t xml:space="preserve">DER_171: (COST_LOAN_FUND + COST_BDC + COST_INTERVAL_FUND + COST_RESERVE) / BUDGET * 100</t>
  </si>
  <si>
    <t xml:space="preserve">HY_SWING: round(SC_BASE_HY, 2) - round(SC_RECESS_HY, 2)</t>
  </si>
  <si>
    <t xml:space="preserve">DER_173: round(SC_BASE_BDC, 2) - round(SC_RECESS_BDC, 2)</t>
  </si>
  <si>
    <t xml:space="preserve">DER_174: HY_SWING * round(W_HY, 1) / 100</t>
  </si>
  <si>
    <t xml:space="preserve">DER_175: round(SC_BASE_PORT, 2) - round(SC_RECESS_PORT, 2)</t>
  </si>
  <si>
    <t xml:space="preserve">DER_176: round(W_HY, 1) + round(W_BDC, 1)</t>
  </si>
  <si>
    <t xml:space="preserve">DER_177: round(SC_GATE_GAIN) - round(SC_BASE_GAIN)</t>
  </si>
  <si>
    <t xml:space="preserve">DER_178: round(SC_BASE_GAIN) - round(SC_COMBO_GAIN)</t>
  </si>
  <si>
    <t xml:space="preserve">DER_179: round(SC_BASE_GAIN) - round(SC_RECESS_GAIN)</t>
  </si>
  <si>
    <t xml:space="preserve">DER_197: GAP_EFF</t>
  </si>
  <si>
    <t xml:space="preserve">DER_198: HARR_PORT_EFFECT</t>
  </si>
  <si>
    <t xml:space="preserve">DER_205: round(S_DISP_IG, 2) - round(S_EXP_IG, 2)</t>
  </si>
  <si>
    <t xml:space="preserve">DER_206: (IG_ALDERM_GAIN_L + IG_CARROW_GAIN_L + IG_HESKET_GAIN_L + IG_PENRIT_GAIN_L + IG_STANWI_GAIN_L) / SC_BASE_GAIN * 100</t>
  </si>
  <si>
    <t xml:space="preserve">DER_207: round(SC_BASE_IG, 2) - round(SC_RATES_IG, 2)</t>
  </si>
  <si>
    <t xml:space="preserve">DER_222: DER_173 * round(W_BDC, 1) / 100</t>
  </si>
</sst>
</file>

<file path=xl/styles.xml><?xml version="1.0" encoding="utf-8"?>
<styleSheet xmlns="http://schemas.openxmlformats.org/spreadsheetml/2006/main">
  <numFmts count="20">
    <numFmt numFmtId="164" formatCode="General"/>
    <numFmt numFmtId="165" formatCode="0.00%"/>
    <numFmt numFmtId="166" formatCode="\$#,##0;&quot;-$&quot;#,##0;\$0"/>
    <numFmt numFmtId="167" formatCode="0%"/>
    <numFmt numFmtId="168" formatCode="0"/>
    <numFmt numFmtId="169" formatCode="#,##0.00"/>
    <numFmt numFmtId="170" formatCode="\$#,##0.00;&quot;-$&quot;#,##0.00;\$0.00"/>
    <numFmt numFmtId="171" formatCode="0.0%"/>
    <numFmt numFmtId="172" formatCode="0.00\x"/>
    <numFmt numFmtId="173" formatCode="\$#,##0.0000;&quot;-$&quot;#,##0.0000;\$0.0000"/>
    <numFmt numFmtId="174" formatCode="\$#,##0.000;&quot;-$&quot;#,##0.000;\$0.000"/>
    <numFmt numFmtId="175" formatCode="#,##0.0"/>
    <numFmt numFmtId="176" formatCode="#,##0"/>
    <numFmt numFmtId="177" formatCode="0.000000"/>
    <numFmt numFmtId="178" formatCode="#,##0.0000"/>
    <numFmt numFmtId="179" formatCode="#,##0.00000"/>
    <numFmt numFmtId="180" formatCode="#,##0.000000"/>
    <numFmt numFmtId="181" formatCode="#,##0.000"/>
    <numFmt numFmtId="182" formatCode="0.0000%"/>
    <numFmt numFmtId="183" formatCode="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5"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center"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xf numFmtId="173" fontId="6"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77" fontId="6" fillId="5" borderId="1" xfId="0" applyFont="true" applyBorder="true" applyAlignment="false" applyProtection="false">
      <alignment horizontal="general" vertical="bottom" textRotation="0" wrapText="false" indent="0" shrinkToFit="false"/>
      <protection locked="true" hidden="false"/>
    </xf>
    <xf numFmtId="176" fontId="7" fillId="5" borderId="1" xfId="0" applyFont="true" applyBorder="true" applyAlignment="false" applyProtection="false">
      <alignment horizontal="general" vertical="bottom" textRotation="0" wrapText="false" indent="0" shrinkToFit="false"/>
      <protection locked="true" hidden="false"/>
    </xf>
    <xf numFmtId="178"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9" fontId="6" fillId="5" borderId="1" xfId="0" applyFont="true" applyBorder="true" applyAlignment="false" applyProtection="false">
      <alignment horizontal="general" vertical="bottom" textRotation="0" wrapText="false" indent="0" shrinkToFit="false"/>
      <protection locked="true" hidden="false"/>
    </xf>
    <xf numFmtId="180" fontId="6" fillId="5" borderId="1" xfId="0" applyFont="true" applyBorder="true" applyAlignment="false" applyProtection="false">
      <alignment horizontal="general" vertical="bottom" textRotation="0" wrapText="false" indent="0" shrinkToFit="false"/>
      <protection locked="true" hidden="false"/>
    </xf>
    <xf numFmtId="181" fontId="6"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82" fontId="6" fillId="5" borderId="1" xfId="0" applyFont="true" applyBorder="true" applyAlignment="false" applyProtection="false">
      <alignment horizontal="general" vertical="bottom" textRotation="0" wrapText="false" indent="0" shrinkToFit="false"/>
      <protection locked="true" hidden="false"/>
    </xf>
    <xf numFmtId="177" fontId="8" fillId="3"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xf numFmtId="183"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81"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30" hidden="false" customHeight="true" outlineLevel="0" collapsed="false">
      <c r="B15" s="3" t="s">
        <v>12</v>
      </c>
    </row>
    <row r="16" customFormat="false" ht="15" hidden="false" customHeight="false" outlineLevel="0" collapsed="false">
      <c r="B16" s="3"/>
    </row>
    <row r="17" customFormat="false" ht="15"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7" min="3" style="0" width="14"/>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c r="E5" s="8"/>
    </row>
    <row r="6" customFormat="false" ht="15" hidden="false" customHeight="false" outlineLevel="0" collapsed="false">
      <c r="B6" s="9" t="s">
        <v>17</v>
      </c>
      <c r="C6" s="10" t="n">
        <v>0.04</v>
      </c>
      <c r="D6" s="6" t="s">
        <v>18</v>
      </c>
    </row>
    <row r="7" customFormat="false" ht="15" hidden="false" customHeight="false" outlineLevel="0" collapsed="false">
      <c r="B7" s="9" t="s">
        <v>19</v>
      </c>
      <c r="C7" s="11" t="n">
        <v>500000</v>
      </c>
    </row>
    <row r="8" customFormat="false" ht="15" hidden="false" customHeight="false" outlineLevel="0" collapsed="false">
      <c r="B8" s="9" t="s">
        <v>20</v>
      </c>
      <c r="C8" s="12" t="n">
        <v>0.4</v>
      </c>
    </row>
    <row r="9" customFormat="false" ht="15" hidden="false" customHeight="false" outlineLevel="0" collapsed="false">
      <c r="B9" s="9" t="s">
        <v>21</v>
      </c>
      <c r="C9" s="12" t="n">
        <v>0.65</v>
      </c>
    </row>
    <row r="11" customFormat="false" ht="15" hidden="false" customHeight="false" outlineLevel="0" collapsed="false">
      <c r="B11" s="7" t="s">
        <v>22</v>
      </c>
      <c r="C11" s="8"/>
      <c r="D11" s="8"/>
      <c r="E11" s="8"/>
    </row>
    <row r="12" customFormat="false" ht="15" hidden="false" customHeight="false" outlineLevel="0" collapsed="false">
      <c r="C12" s="13" t="s">
        <v>23</v>
      </c>
      <c r="D12" s="14" t="s">
        <v>24</v>
      </c>
    </row>
    <row r="13" customFormat="false" ht="15" hidden="false" customHeight="false" outlineLevel="0" collapsed="false">
      <c r="B13" s="9"/>
      <c r="C13" s="15" t="s">
        <v>25</v>
      </c>
      <c r="D13" s="10" t="n">
        <v>0.0005</v>
      </c>
    </row>
    <row r="14" customFormat="false" ht="15" hidden="false" customHeight="false" outlineLevel="0" collapsed="false">
      <c r="B14" s="9"/>
      <c r="C14" s="15" t="s">
        <v>26</v>
      </c>
      <c r="D14" s="10" t="n">
        <v>0.002</v>
      </c>
    </row>
    <row r="15" customFormat="false" ht="15" hidden="false" customHeight="false" outlineLevel="0" collapsed="false">
      <c r="B15" s="9"/>
      <c r="C15" s="15" t="s">
        <v>27</v>
      </c>
      <c r="D15" s="10" t="n">
        <v>0.01</v>
      </c>
    </row>
    <row r="16" customFormat="false" ht="15" hidden="false" customHeight="false" outlineLevel="0" collapsed="false">
      <c r="B16" s="9"/>
      <c r="C16" s="15" t="s">
        <v>28</v>
      </c>
      <c r="D16" s="10" t="n">
        <v>0.03</v>
      </c>
    </row>
    <row r="17" customFormat="false" ht="15" hidden="false" customHeight="false" outlineLevel="0" collapsed="false">
      <c r="B17" s="9"/>
      <c r="C17" s="15" t="s">
        <v>29</v>
      </c>
      <c r="D17" s="10" t="n">
        <v>0.15</v>
      </c>
    </row>
    <row r="19" customFormat="false" ht="15" hidden="false" customHeight="false" outlineLevel="0" collapsed="false">
      <c r="B19" s="7" t="s">
        <v>30</v>
      </c>
      <c r="C19" s="8"/>
      <c r="D19" s="8"/>
      <c r="E19" s="8"/>
      <c r="F19" s="8"/>
      <c r="G19" s="8"/>
    </row>
    <row r="20" customFormat="false" ht="15" hidden="false" customHeight="false" outlineLevel="0" collapsed="false">
      <c r="B20" s="9" t="s">
        <v>31</v>
      </c>
      <c r="C20" s="11" t="n">
        <v>25000</v>
      </c>
    </row>
    <row r="21" customFormat="false" ht="30" hidden="false" customHeight="true" outlineLevel="0" collapsed="false">
      <c r="B21" s="13" t="s">
        <v>32</v>
      </c>
      <c r="C21" s="14" t="s">
        <v>23</v>
      </c>
      <c r="D21" s="14" t="s">
        <v>33</v>
      </c>
      <c r="E21" s="14" t="s">
        <v>34</v>
      </c>
      <c r="F21" s="14" t="s">
        <v>35</v>
      </c>
    </row>
    <row r="22" customFormat="false" ht="15" hidden="false" customHeight="false" outlineLevel="0" collapsed="false">
      <c r="B22" s="9" t="s">
        <v>36</v>
      </c>
      <c r="C22" s="15" t="s">
        <v>25</v>
      </c>
      <c r="D22" s="10" t="n">
        <v>0.008</v>
      </c>
      <c r="E22" s="16" t="n">
        <v>2</v>
      </c>
      <c r="F22" s="17" t="n">
        <f aca="false">$C$6+D22</f>
        <v>0.048</v>
      </c>
    </row>
    <row r="23" customFormat="false" ht="15" hidden="false" customHeight="false" outlineLevel="0" collapsed="false">
      <c r="B23" s="9" t="s">
        <v>37</v>
      </c>
      <c r="C23" s="15" t="s">
        <v>25</v>
      </c>
      <c r="D23" s="10" t="n">
        <v>0.0095</v>
      </c>
      <c r="E23" s="16" t="n">
        <v>3</v>
      </c>
      <c r="F23" s="17" t="n">
        <f aca="false">$C$6+D23</f>
        <v>0.0495</v>
      </c>
    </row>
    <row r="24" customFormat="false" ht="15" hidden="false" customHeight="false" outlineLevel="0" collapsed="false">
      <c r="B24" s="9" t="s">
        <v>38</v>
      </c>
      <c r="C24" s="15" t="s">
        <v>26</v>
      </c>
      <c r="D24" s="10" t="n">
        <v>0.0115</v>
      </c>
      <c r="E24" s="16" t="n">
        <v>4</v>
      </c>
      <c r="F24" s="17" t="n">
        <f aca="false">$C$6+D24</f>
        <v>0.0515</v>
      </c>
    </row>
    <row r="25" customFormat="false" ht="15" hidden="false" customHeight="false" outlineLevel="0" collapsed="false">
      <c r="B25" s="9" t="s">
        <v>39</v>
      </c>
      <c r="C25" s="15" t="s">
        <v>26</v>
      </c>
      <c r="D25" s="10" t="n">
        <v>0.013</v>
      </c>
      <c r="E25" s="16" t="n">
        <v>5</v>
      </c>
      <c r="F25" s="17" t="n">
        <f aca="false">$C$6+D25</f>
        <v>0.053</v>
      </c>
    </row>
    <row r="26" customFormat="false" ht="15" hidden="false" customHeight="false" outlineLevel="0" collapsed="false">
      <c r="B26" s="9" t="s">
        <v>40</v>
      </c>
      <c r="C26" s="15" t="s">
        <v>26</v>
      </c>
      <c r="D26" s="10" t="n">
        <v>0.0145</v>
      </c>
      <c r="E26" s="16" t="n">
        <v>6</v>
      </c>
      <c r="F26" s="17" t="n">
        <f aca="false">$C$6+D26</f>
        <v>0.0545</v>
      </c>
    </row>
    <row r="28" customFormat="false" ht="15" hidden="false" customHeight="false" outlineLevel="0" collapsed="false">
      <c r="B28" s="7" t="s">
        <v>41</v>
      </c>
      <c r="C28" s="8"/>
      <c r="D28" s="8"/>
      <c r="E28" s="8"/>
      <c r="F28" s="8"/>
      <c r="G28" s="8"/>
    </row>
    <row r="29" customFormat="false" ht="15" hidden="false" customHeight="false" outlineLevel="0" collapsed="false">
      <c r="B29" s="9" t="s">
        <v>31</v>
      </c>
      <c r="C29" s="11" t="n">
        <v>12500</v>
      </c>
    </row>
    <row r="30" customFormat="false" ht="15" hidden="false" customHeight="false" outlineLevel="0" collapsed="false">
      <c r="B30" s="9" t="s">
        <v>42</v>
      </c>
      <c r="C30" s="16" t="n">
        <v>5</v>
      </c>
      <c r="D30" s="6" t="s">
        <v>43</v>
      </c>
    </row>
    <row r="31" customFormat="false" ht="30" hidden="false" customHeight="true" outlineLevel="0" collapsed="false">
      <c r="B31" s="13" t="s">
        <v>32</v>
      </c>
      <c r="C31" s="14" t="s">
        <v>23</v>
      </c>
      <c r="D31" s="14" t="s">
        <v>44</v>
      </c>
      <c r="E31" s="14" t="s">
        <v>45</v>
      </c>
      <c r="F31" s="14" t="s">
        <v>46</v>
      </c>
    </row>
    <row r="32" customFormat="false" ht="15" hidden="false" customHeight="false" outlineLevel="0" collapsed="false">
      <c r="B32" s="9" t="s">
        <v>47</v>
      </c>
      <c r="C32" s="15" t="s">
        <v>27</v>
      </c>
      <c r="D32" s="10" t="n">
        <v>0.0675</v>
      </c>
      <c r="E32" s="18" t="n">
        <v>99</v>
      </c>
      <c r="F32" s="19" t="n">
        <f aca="false">$C$29*E32/100</f>
        <v>12375</v>
      </c>
    </row>
    <row r="33" customFormat="false" ht="15" hidden="false" customHeight="false" outlineLevel="0" collapsed="false">
      <c r="B33" s="9" t="s">
        <v>48</v>
      </c>
      <c r="C33" s="15" t="s">
        <v>27</v>
      </c>
      <c r="D33" s="10" t="n">
        <v>0.07</v>
      </c>
      <c r="E33" s="18" t="n">
        <v>98.5</v>
      </c>
      <c r="F33" s="19" t="n">
        <f aca="false">$C$29*E33/100</f>
        <v>12312.5</v>
      </c>
    </row>
    <row r="34" customFormat="false" ht="15" hidden="false" customHeight="false" outlineLevel="0" collapsed="false">
      <c r="B34" s="9" t="s">
        <v>49</v>
      </c>
      <c r="C34" s="15" t="s">
        <v>28</v>
      </c>
      <c r="D34" s="10" t="n">
        <v>0.0725</v>
      </c>
      <c r="E34" s="18" t="n">
        <v>98</v>
      </c>
      <c r="F34" s="19" t="n">
        <f aca="false">$C$29*E34/100</f>
        <v>12250</v>
      </c>
    </row>
    <row r="35" customFormat="false" ht="15" hidden="false" customHeight="false" outlineLevel="0" collapsed="false">
      <c r="B35" s="9" t="s">
        <v>50</v>
      </c>
      <c r="C35" s="15" t="s">
        <v>28</v>
      </c>
      <c r="D35" s="10" t="n">
        <v>0.075</v>
      </c>
      <c r="E35" s="18" t="n">
        <v>97.5</v>
      </c>
      <c r="F35" s="19" t="n">
        <f aca="false">$C$29*E35/100</f>
        <v>12187.5</v>
      </c>
    </row>
    <row r="36" customFormat="false" ht="15" hidden="false" customHeight="false" outlineLevel="0" collapsed="false">
      <c r="B36" s="9" t="s">
        <v>51</v>
      </c>
      <c r="C36" s="15" t="s">
        <v>28</v>
      </c>
      <c r="D36" s="10" t="n">
        <v>0.08</v>
      </c>
      <c r="E36" s="18" t="n">
        <v>97</v>
      </c>
      <c r="F36" s="19" t="n">
        <f aca="false">$C$29*E36/100</f>
        <v>12125</v>
      </c>
    </row>
    <row r="37" customFormat="false" ht="15" hidden="false" customHeight="false" outlineLevel="0" collapsed="false">
      <c r="B37" s="9" t="s">
        <v>52</v>
      </c>
      <c r="C37" s="15" t="s">
        <v>29</v>
      </c>
      <c r="D37" s="10" t="n">
        <v>0.085</v>
      </c>
      <c r="E37" s="18" t="n">
        <v>94</v>
      </c>
      <c r="F37" s="19" t="n">
        <f aca="false">$C$29*E37/100</f>
        <v>11750</v>
      </c>
    </row>
    <row r="39" customFormat="false" ht="15" hidden="false" customHeight="false" outlineLevel="0" collapsed="false">
      <c r="B39" s="7" t="s">
        <v>53</v>
      </c>
      <c r="C39" s="8"/>
      <c r="D39" s="8"/>
      <c r="E39" s="8"/>
    </row>
    <row r="40" customFormat="false" ht="15" hidden="false" customHeight="false" outlineLevel="0" collapsed="false">
      <c r="B40" s="9" t="s">
        <v>54</v>
      </c>
      <c r="C40" s="11" t="n">
        <v>75000</v>
      </c>
    </row>
    <row r="41" customFormat="false" ht="15" hidden="false" customHeight="false" outlineLevel="0" collapsed="false">
      <c r="B41" s="9" t="s">
        <v>55</v>
      </c>
      <c r="C41" s="20" t="n">
        <v>10</v>
      </c>
    </row>
    <row r="42" customFormat="false" ht="15" hidden="false" customHeight="false" outlineLevel="0" collapsed="false">
      <c r="B42" s="9" t="s">
        <v>56</v>
      </c>
      <c r="C42" s="10" t="n">
        <v>0.036</v>
      </c>
      <c r="D42" s="6" t="s">
        <v>18</v>
      </c>
    </row>
    <row r="43" customFormat="false" ht="15" hidden="false" customHeight="false" outlineLevel="0" collapsed="false">
      <c r="B43" s="9" t="s">
        <v>57</v>
      </c>
      <c r="C43" s="10" t="n">
        <v>0.0095</v>
      </c>
      <c r="D43" s="6" t="s">
        <v>58</v>
      </c>
    </row>
    <row r="44" customFormat="false" ht="15" hidden="false" customHeight="false" outlineLevel="0" collapsed="false">
      <c r="B44" s="9" t="s">
        <v>59</v>
      </c>
      <c r="C44" s="21" t="n">
        <v>0.03</v>
      </c>
    </row>
    <row r="45" customFormat="false" ht="15" hidden="false" customHeight="false" outlineLevel="0" collapsed="false">
      <c r="B45" s="9" t="s">
        <v>60</v>
      </c>
      <c r="C45" s="22" t="n">
        <f aca="false">1-$C$9</f>
        <v>0.35</v>
      </c>
    </row>
    <row r="47" customFormat="false" ht="15" hidden="false" customHeight="false" outlineLevel="0" collapsed="false">
      <c r="B47" s="7" t="s">
        <v>61</v>
      </c>
      <c r="C47" s="8"/>
      <c r="D47" s="8"/>
      <c r="E47" s="8"/>
      <c r="F47" s="8"/>
    </row>
    <row r="48" customFormat="false" ht="15" hidden="false" customHeight="false" outlineLevel="0" collapsed="false">
      <c r="B48" s="9" t="s">
        <v>62</v>
      </c>
      <c r="C48" s="11" t="n">
        <v>25000</v>
      </c>
    </row>
    <row r="49" customFormat="false" ht="30" hidden="false" customHeight="true" outlineLevel="0" collapsed="false">
      <c r="B49" s="13" t="s">
        <v>63</v>
      </c>
      <c r="C49" s="14" t="s">
        <v>64</v>
      </c>
      <c r="D49" s="14" t="s">
        <v>65</v>
      </c>
      <c r="E49" s="14" t="s">
        <v>66</v>
      </c>
    </row>
    <row r="50" customFormat="false" ht="15" hidden="false" customHeight="false" outlineLevel="0" collapsed="false">
      <c r="B50" s="9" t="s">
        <v>67</v>
      </c>
      <c r="C50" s="20" t="n">
        <v>19</v>
      </c>
      <c r="D50" s="20" t="n">
        <v>15</v>
      </c>
      <c r="E50" s="20" t="n">
        <v>9</v>
      </c>
    </row>
    <row r="51" customFormat="false" ht="15" hidden="false" customHeight="false" outlineLevel="0" collapsed="false">
      <c r="B51" s="9" t="s">
        <v>55</v>
      </c>
      <c r="C51" s="20" t="n">
        <v>20</v>
      </c>
      <c r="D51" s="20" t="n">
        <v>14</v>
      </c>
      <c r="E51" s="20" t="n">
        <v>11.25</v>
      </c>
    </row>
    <row r="52" customFormat="false" ht="15" hidden="false" customHeight="false" outlineLevel="0" collapsed="false">
      <c r="B52" s="9" t="s">
        <v>68</v>
      </c>
      <c r="C52" s="20" t="n">
        <v>0.48</v>
      </c>
      <c r="D52" s="20" t="n">
        <v>0.4</v>
      </c>
      <c r="E52" s="20" t="n">
        <v>0.33</v>
      </c>
    </row>
    <row r="53" customFormat="false" ht="15" hidden="false" customHeight="false" outlineLevel="0" collapsed="false">
      <c r="B53" s="9" t="s">
        <v>69</v>
      </c>
      <c r="C53" s="10" t="n">
        <v>0.069</v>
      </c>
      <c r="D53" s="10" t="n">
        <v>0.06</v>
      </c>
      <c r="E53" s="10" t="n">
        <v>0.083</v>
      </c>
    </row>
    <row r="54" customFormat="false" ht="15" hidden="false" customHeight="false" outlineLevel="0" collapsed="false">
      <c r="B54" s="9" t="s">
        <v>70</v>
      </c>
      <c r="C54" s="23" t="n">
        <v>1.1</v>
      </c>
      <c r="D54" s="23" t="n">
        <v>1</v>
      </c>
      <c r="E54" s="23" t="n">
        <v>1.35</v>
      </c>
    </row>
    <row r="55" customFormat="false" ht="15" hidden="false" customHeight="false" outlineLevel="0" collapsed="false">
      <c r="B55" s="9" t="s">
        <v>71</v>
      </c>
      <c r="C55" s="10" t="n">
        <v>0.06</v>
      </c>
      <c r="D55" s="10" t="n">
        <v>0.058</v>
      </c>
      <c r="E55" s="10" t="n">
        <v>0.068</v>
      </c>
    </row>
    <row r="56" customFormat="false" ht="15" hidden="false" customHeight="false" outlineLevel="0" collapsed="false">
      <c r="B56" s="9" t="s">
        <v>72</v>
      </c>
      <c r="C56" s="10" t="n">
        <v>0.015</v>
      </c>
      <c r="D56" s="10" t="n">
        <v>0</v>
      </c>
      <c r="E56" s="10" t="n">
        <v>0.0175</v>
      </c>
    </row>
    <row r="57" customFormat="false" ht="15" hidden="false" customHeight="false" outlineLevel="0" collapsed="false">
      <c r="B57" s="9" t="s">
        <v>73</v>
      </c>
      <c r="C57" s="10" t="n">
        <v>0.009</v>
      </c>
      <c r="D57" s="10" t="n">
        <v>0.02</v>
      </c>
      <c r="E57" s="10" t="n">
        <v>0.011</v>
      </c>
    </row>
    <row r="58" customFormat="false" ht="15" hidden="false" customHeight="false" outlineLevel="0" collapsed="false">
      <c r="B58" s="9" t="s">
        <v>74</v>
      </c>
      <c r="C58" s="21" t="n">
        <v>0.175</v>
      </c>
      <c r="D58" s="21" t="n">
        <v>0</v>
      </c>
      <c r="E58" s="21" t="n">
        <v>0.2</v>
      </c>
    </row>
    <row r="59" customFormat="false" ht="15" hidden="false" customHeight="false" outlineLevel="0" collapsed="false">
      <c r="B59" s="9" t="s">
        <v>75</v>
      </c>
      <c r="C59" s="10" t="n">
        <v>0.006</v>
      </c>
      <c r="D59" s="10" t="n">
        <v>0.005</v>
      </c>
      <c r="E59" s="10" t="n">
        <v>0.035</v>
      </c>
    </row>
    <row r="60" customFormat="false" ht="15" hidden="false" customHeight="false" outlineLevel="0" collapsed="false">
      <c r="B60" s="9" t="s">
        <v>76</v>
      </c>
      <c r="C60" s="21" t="n">
        <v>0.01</v>
      </c>
      <c r="D60" s="21" t="n">
        <v>0.008</v>
      </c>
      <c r="E60" s="21" t="n">
        <v>0.04</v>
      </c>
    </row>
    <row r="61" customFormat="false" ht="15" hidden="false" customHeight="false" outlineLevel="0" collapsed="false">
      <c r="B61" s="9" t="s">
        <v>77</v>
      </c>
      <c r="C61" s="21" t="n">
        <v>0.012</v>
      </c>
      <c r="D61" s="21" t="n">
        <v>0.008</v>
      </c>
      <c r="E61" s="21" t="n">
        <v>0.07</v>
      </c>
    </row>
    <row r="62" customFormat="false" ht="15" hidden="false" customHeight="false" outlineLevel="0" collapsed="false">
      <c r="B62" s="9" t="s">
        <v>78</v>
      </c>
      <c r="C62" s="21" t="n">
        <v>0.012</v>
      </c>
      <c r="D62" s="21" t="n">
        <v>0.01</v>
      </c>
      <c r="E62" s="21" t="n">
        <v>0.09</v>
      </c>
    </row>
    <row r="63" customFormat="false" ht="15" hidden="false" customHeight="false" outlineLevel="0" collapsed="false">
      <c r="B63" s="9" t="s">
        <v>79</v>
      </c>
      <c r="C63" s="24" t="s">
        <v>80</v>
      </c>
      <c r="D63" s="24" t="s">
        <v>80</v>
      </c>
      <c r="E63" s="16" t="n">
        <v>6</v>
      </c>
    </row>
    <row r="64" customFormat="false" ht="15" hidden="false" customHeight="false" outlineLevel="0" collapsed="false">
      <c r="B64" s="9" t="s">
        <v>81</v>
      </c>
      <c r="C64" s="20" t="n">
        <v>0.48</v>
      </c>
      <c r="D64" s="20" t="n">
        <v>0.4</v>
      </c>
      <c r="E64" s="20" t="n">
        <v>0.25</v>
      </c>
    </row>
    <row r="65" customFormat="false" ht="15" hidden="false" customHeight="false" outlineLevel="0" collapsed="false">
      <c r="B65" s="9" t="s">
        <v>82</v>
      </c>
      <c r="C65" s="21" t="n">
        <v>-0.05</v>
      </c>
      <c r="D65" s="21" t="n">
        <v>0</v>
      </c>
      <c r="E65" s="21" t="n">
        <v>-0.25</v>
      </c>
    </row>
    <row r="66" customFormat="false" ht="15" hidden="false" customHeight="false" outlineLevel="0" collapsed="false">
      <c r="B66" s="6" t="s">
        <v>83</v>
      </c>
    </row>
    <row r="68" customFormat="false" ht="15" hidden="false" customHeight="false" outlineLevel="0" collapsed="false">
      <c r="B68" s="7" t="s">
        <v>84</v>
      </c>
      <c r="C68" s="8"/>
      <c r="D68" s="8"/>
      <c r="E68" s="8"/>
    </row>
    <row r="69" customFormat="false" ht="15" hidden="false" customHeight="false" outlineLevel="0" collapsed="false">
      <c r="B69" s="9" t="s">
        <v>54</v>
      </c>
      <c r="C69" s="11" t="n">
        <v>100000</v>
      </c>
    </row>
    <row r="70" customFormat="false" ht="15" hidden="false" customHeight="false" outlineLevel="0" collapsed="false">
      <c r="B70" s="9" t="s">
        <v>55</v>
      </c>
      <c r="C70" s="20" t="n">
        <v>25</v>
      </c>
    </row>
    <row r="71" customFormat="false" ht="15" hidden="false" customHeight="false" outlineLevel="0" collapsed="false">
      <c r="B71" s="9" t="s">
        <v>85</v>
      </c>
      <c r="C71" s="25" t="n">
        <v>0.5625</v>
      </c>
    </row>
    <row r="72" customFormat="false" ht="15" hidden="false" customHeight="false" outlineLevel="0" collapsed="false">
      <c r="B72" s="9" t="s">
        <v>56</v>
      </c>
      <c r="C72" s="10" t="n">
        <v>0.0575</v>
      </c>
    </row>
    <row r="73" customFormat="false" ht="15" hidden="false" customHeight="false" outlineLevel="0" collapsed="false">
      <c r="B73" s="9" t="s">
        <v>86</v>
      </c>
      <c r="C73" s="10" t="n">
        <v>0.005</v>
      </c>
    </row>
    <row r="74" customFormat="false" ht="15" hidden="false" customHeight="false" outlineLevel="0" collapsed="false">
      <c r="B74" s="9" t="s">
        <v>87</v>
      </c>
      <c r="C74" s="23" t="n">
        <v>0.75</v>
      </c>
    </row>
    <row r="75" customFormat="false" ht="15" hidden="false" customHeight="false" outlineLevel="0" collapsed="false">
      <c r="B75" s="9" t="s">
        <v>88</v>
      </c>
      <c r="C75" s="10" t="n">
        <v>0.0225</v>
      </c>
    </row>
    <row r="76" customFormat="false" ht="15" hidden="false" customHeight="false" outlineLevel="0" collapsed="false">
      <c r="B76" s="9" t="s">
        <v>89</v>
      </c>
      <c r="C76" s="10" t="n">
        <v>0.0125</v>
      </c>
    </row>
    <row r="77" customFormat="false" ht="15" hidden="false" customHeight="false" outlineLevel="0" collapsed="false">
      <c r="B77" s="9" t="s">
        <v>73</v>
      </c>
      <c r="C77" s="10" t="n">
        <v>0.006</v>
      </c>
    </row>
    <row r="78" customFormat="false" ht="15" hidden="false" customHeight="false" outlineLevel="0" collapsed="false">
      <c r="B78" s="9" t="s">
        <v>90</v>
      </c>
      <c r="C78" s="10" t="n">
        <v>0.0025</v>
      </c>
    </row>
    <row r="79" customFormat="false" ht="15" hidden="false" customHeight="false" outlineLevel="0" collapsed="false">
      <c r="B79" s="9" t="s">
        <v>91</v>
      </c>
      <c r="C79" s="21" t="n">
        <v>0.125</v>
      </c>
    </row>
    <row r="80" customFormat="false" ht="15" hidden="false" customHeight="false" outlineLevel="0" collapsed="false">
      <c r="B80" s="9" t="s">
        <v>92</v>
      </c>
      <c r="C80" s="21" t="n">
        <v>0.05</v>
      </c>
    </row>
    <row r="81" customFormat="false" ht="15" hidden="false" customHeight="false" outlineLevel="0" collapsed="false">
      <c r="B81" s="9" t="s">
        <v>59</v>
      </c>
      <c r="C81" s="21" t="n">
        <v>0.025</v>
      </c>
    </row>
    <row r="82" customFormat="false" ht="15" hidden="false" customHeight="false" outlineLevel="0" collapsed="false">
      <c r="B82" s="9" t="s">
        <v>93</v>
      </c>
      <c r="C82" s="12" t="n">
        <v>0.4</v>
      </c>
    </row>
    <row r="83" customFormat="false" ht="15" hidden="false" customHeight="false" outlineLevel="0" collapsed="false">
      <c r="B83" s="9" t="s">
        <v>94</v>
      </c>
      <c r="C83" s="12" t="n">
        <v>0.05</v>
      </c>
    </row>
    <row r="85" customFormat="false" ht="15" hidden="false" customHeight="false" outlineLevel="0" collapsed="false">
      <c r="B85" s="7" t="s">
        <v>95</v>
      </c>
      <c r="C85" s="8"/>
      <c r="D85" s="8"/>
      <c r="E85" s="8"/>
    </row>
    <row r="86" customFormat="false" ht="15" hidden="false" customHeight="false" outlineLevel="0" collapsed="false">
      <c r="B86" s="9" t="s">
        <v>96</v>
      </c>
      <c r="C86" s="26" t="n">
        <f aca="false">$C$7-5*$C$20-($F$32+$F$33+$F$34+$F$35+$F$36+$F$37)-$C$40-3*$C$48-$C$69</f>
        <v>52000</v>
      </c>
    </row>
    <row r="88" customFormat="false" ht="15" hidden="false" customHeight="false" outlineLevel="0" collapsed="false">
      <c r="B88" s="6" t="s">
        <v>97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6"/>
    <col collapsed="false" customWidth="true" hidden="false" outlineLevel="0" max="3" min="3" style="0" width="13"/>
    <col collapsed="false" customWidth="true" hidden="false" outlineLevel="0" max="4" min="4" style="0" width="9"/>
    <col collapsed="false" customWidth="true" hidden="false" outlineLevel="0" max="5" min="5" style="0" width="13"/>
    <col collapsed="false" customWidth="true" hidden="false" outlineLevel="0" max="6" min="6" style="0" width="10"/>
    <col collapsed="false" customWidth="true" hidden="false" outlineLevel="0" max="8" min="7" style="0" width="12"/>
    <col collapsed="false" customWidth="true" hidden="false" outlineLevel="0" max="9" min="9" style="0" width="14"/>
    <col collapsed="false" customWidth="true" hidden="false" outlineLevel="0" max="10" min="10" style="0" width="16"/>
  </cols>
  <sheetData>
    <row r="1" customFormat="false" ht="6" hidden="false" customHeight="true" outlineLevel="0" collapsed="false"/>
    <row r="2" customFormat="false" ht="17.35" hidden="false" customHeight="false" outlineLevel="0" collapsed="false">
      <c r="B2" s="5" t="s">
        <v>98</v>
      </c>
    </row>
    <row r="3" customFormat="false" ht="15" hidden="false" customHeight="false" outlineLevel="0" collapsed="false">
      <c r="B3" s="6" t="s">
        <v>99</v>
      </c>
    </row>
    <row r="5" customFormat="false" ht="43.5" hidden="false" customHeight="true" outlineLevel="0" collapsed="false">
      <c r="B5" s="13" t="s">
        <v>100</v>
      </c>
      <c r="C5" s="14" t="s">
        <v>101</v>
      </c>
      <c r="D5" s="14" t="s">
        <v>23</v>
      </c>
      <c r="E5" s="14" t="s">
        <v>46</v>
      </c>
      <c r="F5" s="14" t="s">
        <v>102</v>
      </c>
      <c r="G5" s="14" t="s">
        <v>103</v>
      </c>
      <c r="H5" s="14" t="s">
        <v>104</v>
      </c>
      <c r="I5" s="14" t="s">
        <v>105</v>
      </c>
      <c r="J5" s="14" t="s">
        <v>106</v>
      </c>
    </row>
    <row r="6" customFormat="false" ht="15" hidden="false" customHeight="false" outlineLevel="0" collapsed="false">
      <c r="B6" s="9" t="s">
        <v>36</v>
      </c>
      <c r="C6" s="9" t="s">
        <v>107</v>
      </c>
      <c r="D6" s="27" t="str">
        <f aca="false">Assumptions!$C$22</f>
        <v>A</v>
      </c>
      <c r="E6" s="26" t="n">
        <f aca="false">Assumptions!$C$20</f>
        <v>25000</v>
      </c>
      <c r="F6" s="17" t="n">
        <f aca="false">E6/Assumptions!$C$7</f>
        <v>0.05</v>
      </c>
      <c r="G6" s="17" t="n">
        <f aca="false">Assumptions!$C$6+Assumptions!$D$22</f>
        <v>0.048</v>
      </c>
      <c r="H6" s="17" t="n">
        <f aca="false">G6-INDEX(Assumptions!$D$13:$D$17,MATCH(D6,Assumptions!$C$13:$C$17,0))*(1-Assumptions!$C$8)</f>
        <v>0.0477</v>
      </c>
      <c r="I6" s="17" t="n">
        <f aca="false">(1+G6/2)^2-1</f>
        <v>0.048576</v>
      </c>
    </row>
    <row r="7" customFormat="false" ht="15" hidden="false" customHeight="false" outlineLevel="0" collapsed="false">
      <c r="B7" s="9" t="s">
        <v>37</v>
      </c>
      <c r="C7" s="9" t="s">
        <v>107</v>
      </c>
      <c r="D7" s="27" t="str">
        <f aca="false">Assumptions!$C$23</f>
        <v>A</v>
      </c>
      <c r="E7" s="26" t="n">
        <f aca="false">Assumptions!$C$20</f>
        <v>25000</v>
      </c>
      <c r="F7" s="17" t="n">
        <f aca="false">E7/Assumptions!$C$7</f>
        <v>0.05</v>
      </c>
      <c r="G7" s="17" t="n">
        <f aca="false">Assumptions!$C$6+Assumptions!$D$23</f>
        <v>0.0495</v>
      </c>
      <c r="H7" s="17" t="n">
        <f aca="false">G7-INDEX(Assumptions!$D$13:$D$17,MATCH(D7,Assumptions!$C$13:$C$17,0))*(1-Assumptions!$C$8)</f>
        <v>0.0492</v>
      </c>
      <c r="I7" s="17" t="n">
        <f aca="false">(1+G7/2)^2-1</f>
        <v>0.0501125625000001</v>
      </c>
    </row>
    <row r="8" customFormat="false" ht="15" hidden="false" customHeight="false" outlineLevel="0" collapsed="false">
      <c r="B8" s="9" t="s">
        <v>38</v>
      </c>
      <c r="C8" s="9" t="s">
        <v>107</v>
      </c>
      <c r="D8" s="27" t="str">
        <f aca="false">Assumptions!$C$24</f>
        <v>BBB</v>
      </c>
      <c r="E8" s="26" t="n">
        <f aca="false">Assumptions!$C$20</f>
        <v>25000</v>
      </c>
      <c r="F8" s="17" t="n">
        <f aca="false">E8/Assumptions!$C$7</f>
        <v>0.05</v>
      </c>
      <c r="G8" s="17" t="n">
        <f aca="false">Assumptions!$C$6+Assumptions!$D$24</f>
        <v>0.0515</v>
      </c>
      <c r="H8" s="17" t="n">
        <f aca="false">G8-INDEX(Assumptions!$D$13:$D$17,MATCH(D8,Assumptions!$C$13:$C$17,0))*(1-Assumptions!$C$8)</f>
        <v>0.0503</v>
      </c>
      <c r="I8" s="17" t="n">
        <f aca="false">(1+G8/2)^2-1</f>
        <v>0.0521630624999998</v>
      </c>
    </row>
    <row r="9" customFormat="false" ht="15" hidden="false" customHeight="false" outlineLevel="0" collapsed="false">
      <c r="B9" s="9" t="s">
        <v>39</v>
      </c>
      <c r="C9" s="9" t="s">
        <v>107</v>
      </c>
      <c r="D9" s="27" t="str">
        <f aca="false">Assumptions!$C$25</f>
        <v>BBB</v>
      </c>
      <c r="E9" s="26" t="n">
        <f aca="false">Assumptions!$C$20</f>
        <v>25000</v>
      </c>
      <c r="F9" s="17" t="n">
        <f aca="false">E9/Assumptions!$C$7</f>
        <v>0.05</v>
      </c>
      <c r="G9" s="17" t="n">
        <f aca="false">Assumptions!$C$6+Assumptions!$D$25</f>
        <v>0.053</v>
      </c>
      <c r="H9" s="17" t="n">
        <f aca="false">G9-INDEX(Assumptions!$D$13:$D$17,MATCH(D9,Assumptions!$C$13:$C$17,0))*(1-Assumptions!$C$8)</f>
        <v>0.0518</v>
      </c>
      <c r="I9" s="17" t="n">
        <f aca="false">(1+G9/2)^2-1</f>
        <v>0.05370225</v>
      </c>
    </row>
    <row r="10" customFormat="false" ht="15" hidden="false" customHeight="false" outlineLevel="0" collapsed="false">
      <c r="B10" s="9" t="s">
        <v>40</v>
      </c>
      <c r="C10" s="9" t="s">
        <v>107</v>
      </c>
      <c r="D10" s="27" t="str">
        <f aca="false">Assumptions!$C$26</f>
        <v>BBB</v>
      </c>
      <c r="E10" s="26" t="n">
        <f aca="false">Assumptions!$C$20</f>
        <v>25000</v>
      </c>
      <c r="F10" s="17" t="n">
        <f aca="false">E10/Assumptions!$C$7</f>
        <v>0.05</v>
      </c>
      <c r="G10" s="17" t="n">
        <f aca="false">Assumptions!$C$6+Assumptions!$D$26</f>
        <v>0.0545</v>
      </c>
      <c r="H10" s="17" t="n">
        <f aca="false">G10-INDEX(Assumptions!$D$13:$D$17,MATCH(D10,Assumptions!$C$13:$C$17,0))*(1-Assumptions!$C$8)</f>
        <v>0.0533</v>
      </c>
      <c r="I10" s="17" t="n">
        <f aca="false">(1+G10/2)^2-1</f>
        <v>0.0552425624999999</v>
      </c>
    </row>
    <row r="11" customFormat="false" ht="15" hidden="false" customHeight="false" outlineLevel="0" collapsed="false">
      <c r="B11" s="9" t="s">
        <v>47</v>
      </c>
      <c r="C11" s="9" t="s">
        <v>108</v>
      </c>
      <c r="D11" s="27" t="str">
        <f aca="false">Assumptions!$C$32</f>
        <v>BB</v>
      </c>
      <c r="E11" s="26" t="n">
        <f aca="false">Assumptions!$F$32</f>
        <v>12375</v>
      </c>
      <c r="F11" s="17" t="n">
        <f aca="false">E11/Assumptions!$C$7</f>
        <v>0.02475</v>
      </c>
      <c r="G11" s="17" t="n">
        <f aca="false">RATE(Assumptions!$C$30*2,Assumptions!$D$32*100/2,-Assumptions!$E$32,100)*2</f>
        <v>0.0699042470751673</v>
      </c>
      <c r="H11" s="17" t="n">
        <f aca="false">G11-INDEX(Assumptions!$D$13:$D$17,MATCH(D11,Assumptions!$C$13:$C$17,0))*(1-Assumptions!$C$8)</f>
        <v>0.0639042470751673</v>
      </c>
      <c r="I11" s="17" t="n">
        <f aca="false">(1+G11/2)^2-1</f>
        <v>0.0711258980149536</v>
      </c>
    </row>
    <row r="12" customFormat="false" ht="15" hidden="false" customHeight="false" outlineLevel="0" collapsed="false">
      <c r="B12" s="9" t="s">
        <v>48</v>
      </c>
      <c r="C12" s="9" t="s">
        <v>108</v>
      </c>
      <c r="D12" s="27" t="str">
        <f aca="false">Assumptions!$C$33</f>
        <v>BB</v>
      </c>
      <c r="E12" s="26" t="n">
        <f aca="false">Assumptions!$F$33</f>
        <v>12312.5</v>
      </c>
      <c r="F12" s="17" t="n">
        <f aca="false">E12/Assumptions!$C$7</f>
        <v>0.024625</v>
      </c>
      <c r="G12" s="17" t="n">
        <f aca="false">RATE(Assumptions!$C$30*2,Assumptions!$D$33*100/2,-Assumptions!$E$33,100)*2</f>
        <v>0.0736404123832243</v>
      </c>
      <c r="H12" s="17" t="n">
        <f aca="false">G12-INDEX(Assumptions!$D$13:$D$17,MATCH(D12,Assumptions!$C$13:$C$17,0))*(1-Assumptions!$C$8)</f>
        <v>0.0676404123832243</v>
      </c>
      <c r="I12" s="17" t="n">
        <f aca="false">(1+G12/2)^2-1</f>
        <v>0.074996139967217</v>
      </c>
    </row>
    <row r="13" customFormat="false" ht="15" hidden="false" customHeight="false" outlineLevel="0" collapsed="false">
      <c r="B13" s="9" t="s">
        <v>49</v>
      </c>
      <c r="C13" s="9" t="s">
        <v>108</v>
      </c>
      <c r="D13" s="27" t="str">
        <f aca="false">Assumptions!$C$34</f>
        <v>B</v>
      </c>
      <c r="E13" s="26" t="n">
        <f aca="false">Assumptions!$F$34</f>
        <v>12250</v>
      </c>
      <c r="F13" s="17" t="n">
        <f aca="false">E13/Assumptions!$C$7</f>
        <v>0.0245</v>
      </c>
      <c r="G13" s="17" t="n">
        <f aca="false">RATE(Assumptions!$C$30*2,Assumptions!$D$34*100/2,-Assumptions!$E$34,100)*2</f>
        <v>0.0773997713205988</v>
      </c>
      <c r="H13" s="17" t="n">
        <f aca="false">G13-INDEX(Assumptions!$D$13:$D$17,MATCH(D13,Assumptions!$C$13:$C$17,0))*(1-Assumptions!$C$8)</f>
        <v>0.0593997713205988</v>
      </c>
      <c r="I13" s="17" t="n">
        <f aca="false">(1+G13/2)^2-1</f>
        <v>0.0788974524707189</v>
      </c>
    </row>
    <row r="14" customFormat="false" ht="15" hidden="false" customHeight="false" outlineLevel="0" collapsed="false">
      <c r="B14" s="9" t="s">
        <v>50</v>
      </c>
      <c r="C14" s="9" t="s">
        <v>108</v>
      </c>
      <c r="D14" s="27" t="str">
        <f aca="false">Assumptions!$C$35</f>
        <v>B</v>
      </c>
      <c r="E14" s="26" t="n">
        <f aca="false">Assumptions!$F$35</f>
        <v>12187.5</v>
      </c>
      <c r="F14" s="17" t="n">
        <f aca="false">E14/Assumptions!$C$7</f>
        <v>0.024375</v>
      </c>
      <c r="G14" s="17" t="n">
        <f aca="false">RATE(Assumptions!$C$30*2,Assumptions!$D$35*100/2,-Assumptions!$E$35,100)*2</f>
        <v>0.0811827080590467</v>
      </c>
      <c r="H14" s="17" t="n">
        <f aca="false">G14-INDEX(Assumptions!$D$13:$D$17,MATCH(D14,Assumptions!$C$13:$C$17,0))*(1-Assumptions!$C$8)</f>
        <v>0.0631827080590467</v>
      </c>
      <c r="I14" s="17" t="n">
        <f aca="false">(1+G14/2)^2-1</f>
        <v>0.0828303660809966</v>
      </c>
    </row>
    <row r="15" customFormat="false" ht="15" hidden="false" customHeight="false" outlineLevel="0" collapsed="false">
      <c r="B15" s="9" t="s">
        <v>51</v>
      </c>
      <c r="C15" s="9" t="s">
        <v>108</v>
      </c>
      <c r="D15" s="27" t="str">
        <f aca="false">Assumptions!$C$36</f>
        <v>B</v>
      </c>
      <c r="E15" s="26" t="n">
        <f aca="false">Assumptions!$F$36</f>
        <v>12125</v>
      </c>
      <c r="F15" s="17" t="n">
        <f aca="false">E15/Assumptions!$C$7</f>
        <v>0.02425</v>
      </c>
      <c r="G15" s="17" t="n">
        <f aca="false">RATE(Assumptions!$C$30*2,Assumptions!$D$36*100/2,-Assumptions!$E$36,100)*2</f>
        <v>0.0875368825411204</v>
      </c>
      <c r="H15" s="17" t="n">
        <f aca="false">G15-INDEX(Assumptions!$D$13:$D$17,MATCH(D15,Assumptions!$C$13:$C$17,0))*(1-Assumptions!$C$8)</f>
        <v>0.0695368825411204</v>
      </c>
      <c r="I15" s="17" t="n">
        <f aca="false">(1+G15/2)^2-1</f>
        <v>0.0894525589923747</v>
      </c>
    </row>
    <row r="16" customFormat="false" ht="15" hidden="false" customHeight="false" outlineLevel="0" collapsed="false">
      <c r="B16" s="9" t="s">
        <v>52</v>
      </c>
      <c r="C16" s="9" t="s">
        <v>108</v>
      </c>
      <c r="D16" s="27" t="str">
        <f aca="false">Assumptions!$C$37</f>
        <v>CCC</v>
      </c>
      <c r="E16" s="26" t="n">
        <f aca="false">Assumptions!$F$37</f>
        <v>11750</v>
      </c>
      <c r="F16" s="17" t="n">
        <f aca="false">E16/Assumptions!$C$7</f>
        <v>0.0235</v>
      </c>
      <c r="G16" s="17" t="n">
        <f aca="false">RATE(Assumptions!$C$30*2,Assumptions!$D$37*100/2,-Assumptions!$E$37,100)*2</f>
        <v>0.100561753609911</v>
      </c>
      <c r="H16" s="17" t="n">
        <f aca="false">G16-INDEX(Assumptions!$D$13:$D$17,MATCH(D16,Assumptions!$C$13:$C$17,0))*(1-Assumptions!$C$8)</f>
        <v>0.0105617536099108</v>
      </c>
      <c r="I16" s="17" t="n">
        <f aca="false">(1+G16/2)^2-1</f>
        <v>0.103089920182186</v>
      </c>
    </row>
    <row r="17" customFormat="false" ht="15" hidden="false" customHeight="false" outlineLevel="0" collapsed="false">
      <c r="B17" s="9" t="s">
        <v>109</v>
      </c>
      <c r="C17" s="9" t="s">
        <v>110</v>
      </c>
      <c r="D17" s="28" t="s">
        <v>111</v>
      </c>
      <c r="E17" s="26" t="n">
        <f aca="false">Assumptions!$C$40</f>
        <v>75000</v>
      </c>
      <c r="F17" s="17" t="n">
        <f aca="false">E17/Assumptions!$C$7</f>
        <v>0.15</v>
      </c>
      <c r="G17" s="17" t="n">
        <f aca="false">Assumptions!$C$6+Assumptions!$C$42-Assumptions!$C$43</f>
        <v>0.0665</v>
      </c>
      <c r="H17" s="17" t="n">
        <f aca="false">G17-Assumptions!$C$44*Assumptions!$C$45</f>
        <v>0.056</v>
      </c>
      <c r="I17" s="17" t="n">
        <f aca="false">(1+G17/4)^4-1</f>
        <v>0.0681768001183396</v>
      </c>
    </row>
    <row r="18" customFormat="false" ht="15" hidden="false" customHeight="false" outlineLevel="0" collapsed="false">
      <c r="B18" s="9" t="s">
        <v>64</v>
      </c>
      <c r="C18" s="9" t="s">
        <v>63</v>
      </c>
      <c r="D18" s="28" t="s">
        <v>111</v>
      </c>
      <c r="E18" s="26" t="n">
        <f aca="false">Assumptions!$C$48</f>
        <v>25000</v>
      </c>
      <c r="F18" s="17" t="n">
        <f aca="false">E18/Assumptions!$C$7</f>
        <v>0.05</v>
      </c>
      <c r="G18" s="17" t="n">
        <f aca="false">Assumptions!$C$52*4/Assumptions!$C$50</f>
        <v>0.101052631578947</v>
      </c>
      <c r="H18" s="17" t="n">
        <f aca="false">G18+(J18-Assumptions!$C$52*4/Assumptions!$C$51-Assumptions!$C$59)</f>
        <v>0.0981442065789474</v>
      </c>
      <c r="I18" s="17" t="n">
        <f aca="false">(1+G18/4)^4-1</f>
        <v>0.104946896326455</v>
      </c>
      <c r="J18" s="17" t="n">
        <f aca="false">((Assumptions!$C$6+Assumptions!$C$53)*(1-Assumptions!$C$60)*(1+Assumptions!$C$54)-Assumptions!$C$55*Assumptions!$C$54-Assumptions!$C$56*(1+Assumptions!$C$54)-Assumptions!$C$57)*(1-Assumptions!$C$58)</f>
        <v>0.099091575</v>
      </c>
    </row>
    <row r="19" customFormat="false" ht="15" hidden="false" customHeight="false" outlineLevel="0" collapsed="false">
      <c r="B19" s="9" t="s">
        <v>65</v>
      </c>
      <c r="C19" s="9" t="s">
        <v>63</v>
      </c>
      <c r="D19" s="28" t="s">
        <v>111</v>
      </c>
      <c r="E19" s="26" t="n">
        <f aca="false">Assumptions!$C$48</f>
        <v>25000</v>
      </c>
      <c r="F19" s="17" t="n">
        <f aca="false">E19/Assumptions!$C$7</f>
        <v>0.05</v>
      </c>
      <c r="G19" s="17" t="n">
        <f aca="false">Assumptions!$D$52*4/Assumptions!$D$50</f>
        <v>0.106666666666667</v>
      </c>
      <c r="H19" s="17" t="n">
        <f aca="false">G19+(J19-Assumptions!$D$52*4/Assumptions!$D$51-Assumptions!$D$59)</f>
        <v>0.107780952380952</v>
      </c>
      <c r="I19" s="17" t="n">
        <f aca="false">(1+G19/4)^4-1</f>
        <v>0.111009690864197</v>
      </c>
      <c r="J19" s="17" t="n">
        <f aca="false">((Assumptions!$C$6+Assumptions!$D$53)*(1-Assumptions!$D$60)*(1+Assumptions!$D$54)-Assumptions!$D$55*Assumptions!$D$54-Assumptions!$D$56*(1+Assumptions!$D$54)-Assumptions!$D$57)*(1-Assumptions!$D$58)</f>
        <v>0.1204</v>
      </c>
    </row>
    <row r="20" customFormat="false" ht="15" hidden="false" customHeight="false" outlineLevel="0" collapsed="false">
      <c r="B20" s="9" t="s">
        <v>66</v>
      </c>
      <c r="C20" s="9" t="s">
        <v>63</v>
      </c>
      <c r="D20" s="28" t="s">
        <v>111</v>
      </c>
      <c r="E20" s="26" t="n">
        <f aca="false">Assumptions!$C$48</f>
        <v>25000</v>
      </c>
      <c r="F20" s="17" t="n">
        <f aca="false">E20/Assumptions!$C$7</f>
        <v>0.05</v>
      </c>
      <c r="G20" s="17" t="n">
        <f aca="false">Assumptions!$E$52*4/Assumptions!$E$50</f>
        <v>0.146666666666667</v>
      </c>
      <c r="H20" s="17" t="n">
        <f aca="false">G20+(J20-Assumptions!$E$52*4/Assumptions!$E$51-Assumptions!$E$59)</f>
        <v>0.101183733333333</v>
      </c>
      <c r="I20" s="17" t="n">
        <f aca="false">(1+G20/4)^4-1</f>
        <v>0.154932326049382</v>
      </c>
      <c r="J20" s="17" t="n">
        <f aca="false">((Assumptions!$C$6+Assumptions!$E$53)*(1-Assumptions!$E$60)*(1+Assumptions!$E$54)-Assumptions!$E$55*Assumptions!$E$54-Assumptions!$E$56*(1+Assumptions!$E$54)-Assumptions!$E$57)*(1-Assumptions!$E$58)</f>
        <v>0.1068504</v>
      </c>
    </row>
    <row r="21" customFormat="false" ht="15" hidden="false" customHeight="false" outlineLevel="0" collapsed="false">
      <c r="B21" s="9" t="s">
        <v>112</v>
      </c>
      <c r="C21" s="9" t="s">
        <v>113</v>
      </c>
      <c r="D21" s="28" t="s">
        <v>111</v>
      </c>
      <c r="E21" s="26" t="n">
        <f aca="false">Assumptions!$C$69</f>
        <v>100000</v>
      </c>
      <c r="F21" s="17" t="n">
        <f aca="false">E21/Assumptions!$C$7</f>
        <v>0.2</v>
      </c>
      <c r="G21" s="17" t="n">
        <f aca="false">Assumptions!$C$71*4/Assumptions!$C$70</f>
        <v>0.09</v>
      </c>
      <c r="H21" s="17" t="n">
        <f aca="false">J21-Assumptions!$C$81*Assumptions!$C$82*(1+Assumptions!$C$74)</f>
        <v>0.071859375</v>
      </c>
      <c r="I21" s="17" t="n">
        <f aca="false">(1+G21/4)^4-1</f>
        <v>0.0930833187890623</v>
      </c>
      <c r="J21" s="17" t="n">
        <f aca="false">((Assumptions!$C$6+Assumptions!$C$72+Assumptions!$C$73)*(1+Assumptions!$C$74)-(Assumptions!$C$6+Assumptions!$C$75)*Assumptions!$C$74-Assumptions!$C$76*(1+Assumptions!$C$74)-Assumptions!$C$77-Assumptions!$C$78)-IF(((Assumptions!$C$6+Assumptions!$C$72+Assumptions!$C$73)*(1+Assumptions!$C$74)-(Assumptions!$C$6+Assumptions!$C$75)*Assumptions!$C$74-Assumptions!$C$76*(1+Assumptions!$C$74)-Assumptions!$C$77-Assumptions!$C$78)&gt;Assumptions!$C$80,Assumptions!$C$79*((Assumptions!$C$6+Assumptions!$C$72+Assumptions!$C$73)*(1+Assumptions!$C$74)-(Assumptions!$C$6+Assumptions!$C$75)*Assumptions!$C$74-Assumptions!$C$76*(1+Assumptions!$C$74)-Assumptions!$C$77-Assumptions!$C$78),0)</f>
        <v>0.089359375</v>
      </c>
    </row>
    <row r="22" customFormat="false" ht="15" hidden="false" customHeight="false" outlineLevel="0" collapsed="false">
      <c r="B22" s="9" t="s">
        <v>114</v>
      </c>
      <c r="C22" s="9" t="s">
        <v>115</v>
      </c>
      <c r="D22" s="28" t="s">
        <v>111</v>
      </c>
      <c r="E22" s="26" t="n">
        <f aca="false">Assumptions!$C$86</f>
        <v>52000</v>
      </c>
      <c r="F22" s="17" t="n">
        <f aca="false">E22/Assumptions!$C$7</f>
        <v>0.104</v>
      </c>
      <c r="G22" s="17" t="n">
        <f aca="false">Assumptions!$C$6</f>
        <v>0.04</v>
      </c>
      <c r="H22" s="17" t="n">
        <f aca="false">Assumptions!$C$6</f>
        <v>0.04</v>
      </c>
      <c r="I22" s="17" t="n">
        <f aca="false">(1+G22/4)^4-1</f>
        <v>0.04060401</v>
      </c>
    </row>
    <row r="23" customFormat="false" ht="15" hidden="false" customHeight="false" outlineLevel="0" collapsed="false">
      <c r="B23" s="29" t="s">
        <v>116</v>
      </c>
      <c r="E23" s="30" t="n">
        <f aca="false">SUM($E$6:$E$22)</f>
        <v>500000</v>
      </c>
      <c r="F23" s="31" t="n">
        <f aca="false">SUM($F$6:$F$22)</f>
        <v>1</v>
      </c>
      <c r="G23" s="31" t="n">
        <f aca="false">SUMPRODUCT($E$6:$E$22,$G$6:$G$22)/SUM($E$6:$E$22)</f>
        <v>0.0745839170334103</v>
      </c>
      <c r="H23" s="31" t="n">
        <f aca="false">SUMPRODUCT($E$6:$E$22,$H$6:$H$22)/SUM($E$6:$E$22)</f>
        <v>0.0630794384024579</v>
      </c>
      <c r="I23" s="31" t="n">
        <f aca="false">SUMPRODUCT($E$6:$E$22,$I$6:$I$22)/SUM($E$6:$E$22)</f>
        <v>0.0767512297137313</v>
      </c>
    </row>
    <row r="25" customFormat="false" ht="15" hidden="false" customHeight="false" outlineLevel="0" collapsed="false">
      <c r="B25" s="7" t="s">
        <v>117</v>
      </c>
      <c r="C25" s="8"/>
      <c r="D25" s="8"/>
      <c r="E25" s="8"/>
      <c r="F25" s="8"/>
      <c r="G25" s="8"/>
      <c r="H25" s="8"/>
    </row>
    <row r="26" customFormat="false" ht="30" hidden="false" customHeight="true" outlineLevel="0" collapsed="false">
      <c r="B26" s="13" t="s">
        <v>101</v>
      </c>
      <c r="C26" s="14" t="s">
        <v>118</v>
      </c>
      <c r="D26" s="14"/>
      <c r="E26" s="14" t="s">
        <v>46</v>
      </c>
      <c r="F26" s="14" t="s">
        <v>102</v>
      </c>
      <c r="G26" s="14" t="s">
        <v>103</v>
      </c>
      <c r="H26" s="14" t="s">
        <v>104</v>
      </c>
    </row>
    <row r="27" customFormat="false" ht="15" hidden="false" customHeight="false" outlineLevel="0" collapsed="false">
      <c r="B27" s="9" t="s">
        <v>107</v>
      </c>
      <c r="C27" s="32" t="n">
        <f aca="false">COUNTIF($C$6:$C$22,"IG")</f>
        <v>5</v>
      </c>
      <c r="D27" s="9"/>
      <c r="E27" s="26" t="n">
        <f aca="false">SUMIF($C$6:$C$22,"IG",$E$6:$E$22)</f>
        <v>125000</v>
      </c>
      <c r="F27" s="33" t="n">
        <f aca="false">E27/Assumptions!$C$7</f>
        <v>0.25</v>
      </c>
      <c r="G27" s="17" t="n">
        <f aca="false">SUMPRODUCT(($C$6:$C$22="IG")*$E$6:$E$22*$G$6:$G$22)/E27</f>
        <v>0.0513</v>
      </c>
      <c r="H27" s="17" t="n">
        <f aca="false">SUMPRODUCT(($C$6:$C$22="IG")*$E$6:$E$22*$H$6:$H$22)/E27</f>
        <v>0.05046</v>
      </c>
    </row>
    <row r="28" customFormat="false" ht="15" hidden="false" customHeight="false" outlineLevel="0" collapsed="false">
      <c r="B28" s="9" t="s">
        <v>108</v>
      </c>
      <c r="C28" s="32" t="n">
        <f aca="false">COUNTIF($C$6:$C$22,"HY")</f>
        <v>6</v>
      </c>
      <c r="D28" s="9"/>
      <c r="E28" s="26" t="n">
        <f aca="false">SUMIF($C$6:$C$22,"HY",$E$6:$E$22)</f>
        <v>73000</v>
      </c>
      <c r="F28" s="33" t="n">
        <f aca="false">E28/Assumptions!$C$7</f>
        <v>0.146</v>
      </c>
      <c r="G28" s="17" t="n">
        <f aca="false">SUMPRODUCT(($C$6:$C$22="HY")*$E$6:$E$22*$G$6:$G$22)/E28</f>
        <v>0.0815384848479198</v>
      </c>
      <c r="H28" s="17" t="n">
        <f aca="false">SUMPRODUCT(($C$6:$C$22="HY")*$E$6:$E$22*$H$6:$H$22)/E28</f>
        <v>0.0560076629301116</v>
      </c>
    </row>
    <row r="29" customFormat="false" ht="15" hidden="false" customHeight="false" outlineLevel="0" collapsed="false">
      <c r="B29" s="9" t="s">
        <v>110</v>
      </c>
      <c r="C29" s="32" t="n">
        <f aca="false">COUNTIF($C$6:$C$22,"Loan fund")</f>
        <v>1</v>
      </c>
      <c r="D29" s="9"/>
      <c r="E29" s="26" t="n">
        <f aca="false">SUMIF($C$6:$C$22,"Loan fund",$E$6:$E$22)</f>
        <v>75000</v>
      </c>
      <c r="F29" s="33" t="n">
        <f aca="false">E29/Assumptions!$C$7</f>
        <v>0.15</v>
      </c>
      <c r="G29" s="17" t="n">
        <f aca="false">SUMPRODUCT(($C$6:$C$22="Loan fund")*$E$6:$E$22*$G$6:$G$22)/E29</f>
        <v>0.0665</v>
      </c>
      <c r="H29" s="17" t="n">
        <f aca="false">SUMPRODUCT(($C$6:$C$22="Loan fund")*$E$6:$E$22*$H$6:$H$22)/E29</f>
        <v>0.056</v>
      </c>
    </row>
    <row r="30" customFormat="false" ht="15" hidden="false" customHeight="false" outlineLevel="0" collapsed="false">
      <c r="B30" s="9" t="s">
        <v>63</v>
      </c>
      <c r="C30" s="32" t="n">
        <f aca="false">COUNTIF($C$6:$C$22,"BDC")</f>
        <v>3</v>
      </c>
      <c r="D30" s="9"/>
      <c r="E30" s="26" t="n">
        <f aca="false">SUMIF($C$6:$C$22,"BDC",$E$6:$E$22)</f>
        <v>75000</v>
      </c>
      <c r="F30" s="33" t="n">
        <f aca="false">E30/Assumptions!$C$7</f>
        <v>0.15</v>
      </c>
      <c r="G30" s="17" t="n">
        <f aca="false">SUMPRODUCT(($C$6:$C$22="BDC")*$E$6:$E$22*$G$6:$G$22)/E30</f>
        <v>0.11812865497076</v>
      </c>
      <c r="H30" s="17" t="n">
        <f aca="false">SUMPRODUCT(($C$6:$C$22="BDC")*$E$6:$E$22*$H$6:$H$22)/E30</f>
        <v>0.102369630764411</v>
      </c>
    </row>
    <row r="31" customFormat="false" ht="15" hidden="false" customHeight="false" outlineLevel="0" collapsed="false">
      <c r="B31" s="9" t="s">
        <v>113</v>
      </c>
      <c r="C31" s="32" t="n">
        <f aca="false">COUNTIF($C$6:$C$22,"Interval fund")</f>
        <v>1</v>
      </c>
      <c r="D31" s="9"/>
      <c r="E31" s="26" t="n">
        <f aca="false">SUMIF($C$6:$C$22,"Interval fund",$E$6:$E$22)</f>
        <v>100000</v>
      </c>
      <c r="F31" s="33" t="n">
        <f aca="false">E31/Assumptions!$C$7</f>
        <v>0.2</v>
      </c>
      <c r="G31" s="17" t="n">
        <f aca="false">SUMPRODUCT(($C$6:$C$22="Interval fund")*$E$6:$E$22*$G$6:$G$22)/E31</f>
        <v>0.09</v>
      </c>
      <c r="H31" s="17" t="n">
        <f aca="false">SUMPRODUCT(($C$6:$C$22="Interval fund")*$E$6:$E$22*$H$6:$H$22)/E31</f>
        <v>0.071859375</v>
      </c>
    </row>
    <row r="32" customFormat="false" ht="15" hidden="false" customHeight="false" outlineLevel="0" collapsed="false">
      <c r="B32" s="9" t="s">
        <v>115</v>
      </c>
      <c r="C32" s="32" t="n">
        <f aca="false">COUNTIF($C$6:$C$22,"Reserve")</f>
        <v>1</v>
      </c>
      <c r="D32" s="9"/>
      <c r="E32" s="26" t="n">
        <f aca="false">SUMIF($C$6:$C$22,"Reserve",$E$6:$E$22)</f>
        <v>52000</v>
      </c>
      <c r="F32" s="33" t="n">
        <f aca="false">E32/Assumptions!$C$7</f>
        <v>0.104</v>
      </c>
      <c r="G32" s="17" t="n">
        <f aca="false">SUMPRODUCT(($C$6:$C$22="Reserve")*$E$6:$E$22*$G$6:$G$22)/E32</f>
        <v>0.04</v>
      </c>
      <c r="H32" s="17" t="n">
        <f aca="false">SUMPRODUCT(($C$6:$C$22="Reserve")*$E$6:$E$22*$H$6:$H$22)/E32</f>
        <v>0.04</v>
      </c>
    </row>
    <row r="34" customFormat="false" ht="15" hidden="false" customHeight="false" outlineLevel="0" collapsed="false">
      <c r="B34" s="9" t="s">
        <v>19</v>
      </c>
      <c r="C34" s="26" t="n">
        <f aca="false">Assumptions!$C$7</f>
        <v>500000</v>
      </c>
    </row>
    <row r="35" customFormat="false" ht="15" hidden="false" customHeight="false" outlineLevel="0" collapsed="false">
      <c r="B35" s="9" t="s">
        <v>119</v>
      </c>
      <c r="C35" s="19" t="n">
        <f aca="false">$E$28</f>
        <v>73000</v>
      </c>
    </row>
    <row r="36" customFormat="false" ht="15" hidden="false" customHeight="false" outlineLevel="0" collapsed="false">
      <c r="B36" s="9" t="s">
        <v>120</v>
      </c>
      <c r="C36" s="26" t="n">
        <f aca="false">Assumptions!$C$86</f>
        <v>52000</v>
      </c>
    </row>
    <row r="37" customFormat="false" ht="15" hidden="false" customHeight="false" outlineLevel="0" collapsed="false">
      <c r="B37" s="9" t="s">
        <v>121</v>
      </c>
      <c r="C37" s="22" t="n">
        <f aca="false">$E$21/Assumptions!$C$7</f>
        <v>0.2</v>
      </c>
    </row>
    <row r="38" customFormat="false" ht="15" hidden="false" customHeight="false" outlineLevel="0" collapsed="false">
      <c r="B38" s="9" t="s">
        <v>122</v>
      </c>
      <c r="C38" s="26" t="n">
        <f aca="false">$E$16</f>
        <v>11750</v>
      </c>
    </row>
    <row r="39" customFormat="false" ht="15" hidden="false" customHeight="false" outlineLevel="0" collapsed="false">
      <c r="B39" s="9" t="s">
        <v>123</v>
      </c>
      <c r="C39" s="17" t="n">
        <f aca="false">$C$38/Assumptions!$C$7</f>
        <v>0.0235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10" min="3" style="0" width="13"/>
  </cols>
  <sheetData>
    <row r="1" customFormat="false" ht="6" hidden="false" customHeight="true" outlineLevel="0" collapsed="false"/>
    <row r="2" customFormat="false" ht="17.35" hidden="false" customHeight="false" outlineLevel="0" collapsed="false">
      <c r="B2" s="5" t="s">
        <v>124</v>
      </c>
    </row>
    <row r="3" customFormat="false" ht="15" hidden="false" customHeight="false" outlineLevel="0" collapsed="false">
      <c r="B3" s="6" t="s">
        <v>125</v>
      </c>
    </row>
    <row r="5" customFormat="false" ht="30" hidden="false" customHeight="true" outlineLevel="0" collapsed="false">
      <c r="B5" s="13" t="s">
        <v>126</v>
      </c>
      <c r="C5" s="14" t="s">
        <v>127</v>
      </c>
      <c r="D5" s="14" t="s">
        <v>107</v>
      </c>
      <c r="E5" s="14" t="s">
        <v>108</v>
      </c>
      <c r="F5" s="14" t="s">
        <v>110</v>
      </c>
      <c r="G5" s="14" t="s">
        <v>63</v>
      </c>
      <c r="H5" s="14" t="s">
        <v>113</v>
      </c>
      <c r="I5" s="14" t="s">
        <v>115</v>
      </c>
      <c r="J5" s="14" t="s">
        <v>128</v>
      </c>
    </row>
    <row r="6" customFormat="false" ht="15" hidden="false" customHeight="false" outlineLevel="0" collapsed="false">
      <c r="B6" s="9" t="s">
        <v>129</v>
      </c>
      <c r="C6" s="31" t="n">
        <f aca="false">Base!$H$129</f>
        <v>0.0602132863026841</v>
      </c>
      <c r="D6" s="17" t="n">
        <f aca="false">Base!$H$123</f>
        <v>0.0521866825360082</v>
      </c>
      <c r="E6" s="17" t="n">
        <f aca="false">Base!$H$124</f>
        <v>0.0421815773308225</v>
      </c>
      <c r="F6" s="17" t="n">
        <f aca="false">Base!$H$125</f>
        <v>0.0571870144159075</v>
      </c>
      <c r="G6" s="17" t="n">
        <f aca="false">Base!$H$126</f>
        <v>0.0903440091851642</v>
      </c>
      <c r="H6" s="17" t="n">
        <f aca="false">Base!$H$127</f>
        <v>0.07381908440334</v>
      </c>
      <c r="I6" s="17" t="n">
        <f aca="false">Base!$H$128</f>
        <v>0.04060401</v>
      </c>
      <c r="J6" s="26" t="n">
        <f aca="false">Base!$G$129</f>
        <v>85259.1265641445</v>
      </c>
    </row>
    <row r="7" customFormat="false" ht="15" hidden="false" customHeight="false" outlineLevel="0" collapsed="false">
      <c r="B7" s="9" t="s">
        <v>130</v>
      </c>
      <c r="C7" s="31" t="n">
        <f aca="false">Rates_Up_2!$H$129</f>
        <v>0.070949174106828</v>
      </c>
      <c r="D7" s="17" t="n">
        <f aca="false">Rates_Up_2!$H$123</f>
        <v>0.0447056272742963</v>
      </c>
      <c r="E7" s="17" t="n">
        <f aca="false">Rates_Up_2!$H$124</f>
        <v>0.0318075090856442</v>
      </c>
      <c r="F7" s="17" t="n">
        <f aca="false">Rates_Up_2!$H$125</f>
        <v>0.0744950190553291</v>
      </c>
      <c r="G7" s="17" t="n">
        <f aca="false">Rates_Up_2!$H$126</f>
        <v>0.128963159798274</v>
      </c>
      <c r="H7" s="17" t="n">
        <f aca="false">Rates_Up_2!$H$127</f>
        <v>0.08866358319116</v>
      </c>
      <c r="I7" s="17" t="n">
        <f aca="false">Rates_Up_2!$H$128</f>
        <v>0.0613635506249997</v>
      </c>
      <c r="J7" s="26" t="n">
        <f aca="false">Rates_Up_2!$G$129</f>
        <v>100844.282996609</v>
      </c>
    </row>
    <row r="8" customFormat="false" ht="15" hidden="false" customHeight="false" outlineLevel="0" collapsed="false">
      <c r="B8" s="9" t="s">
        <v>131</v>
      </c>
      <c r="C8" s="31" t="n">
        <f aca="false">Recession!$H$129</f>
        <v>0.0265723127551649</v>
      </c>
      <c r="D8" s="17" t="n">
        <f aca="false">Recession!$H$123</f>
        <v>0.0512360314540408</v>
      </c>
      <c r="E8" s="17" t="n">
        <f aca="false">Recession!$H$124</f>
        <v>-0.0794582666111473</v>
      </c>
      <c r="F8" s="17" t="n">
        <f aca="false">Recession!$H$125</f>
        <v>0.0367881825294081</v>
      </c>
      <c r="G8" s="17" t="n">
        <f aca="false">Recession!$H$126</f>
        <v>0.0231823158167146</v>
      </c>
      <c r="H8" s="17" t="n">
        <f aca="false">Recession!$H$127</f>
        <v>0.0537268981731835</v>
      </c>
      <c r="I8" s="17" t="n">
        <f aca="false">Recession!$H$128</f>
        <v>0.030493538929963</v>
      </c>
      <c r="J8" s="26" t="n">
        <f aca="false">Recession!$G$129</f>
        <v>37658.2710986137</v>
      </c>
    </row>
    <row r="9" customFormat="false" ht="15" hidden="false" customHeight="false" outlineLevel="0" collapsed="false">
      <c r="B9" s="9" t="s">
        <v>132</v>
      </c>
      <c r="C9" s="31" t="n">
        <f aca="false">Combined!$H$129</f>
        <v>0.0441375278445539</v>
      </c>
      <c r="D9" s="17" t="n">
        <f aca="false">Combined!$H$123</f>
        <v>0.0437901512556718</v>
      </c>
      <c r="E9" s="17" t="n">
        <f aca="false">Combined!$H$124</f>
        <v>-0.0873772945576871</v>
      </c>
      <c r="F9" s="17" t="n">
        <f aca="false">Combined!$H$125</f>
        <v>0.0652064129926195</v>
      </c>
      <c r="G9" s="17" t="n">
        <f aca="false">Combined!$H$126</f>
        <v>0.0755164277519109</v>
      </c>
      <c r="H9" s="17" t="n">
        <f aca="false">Combined!$H$127</f>
        <v>0.0756450848325732</v>
      </c>
      <c r="I9" s="17" t="n">
        <f aca="false">Combined!$H$128</f>
        <v>0.0613635506249997</v>
      </c>
      <c r="J9" s="26" t="n">
        <f aca="false">Combined!$G$129</f>
        <v>63240.6190628634</v>
      </c>
    </row>
    <row r="10" customFormat="false" ht="15" hidden="false" customHeight="false" outlineLevel="0" collapsed="false">
      <c r="B10" s="9" t="s">
        <v>133</v>
      </c>
      <c r="C10" s="31" t="n">
        <f aca="false">Gate_Only!$H$129</f>
        <v>0.0606008106787763</v>
      </c>
      <c r="D10" s="17" t="n">
        <f aca="false">Gate_Only!$H$123</f>
        <v>0.0521866825360082</v>
      </c>
      <c r="E10" s="17" t="n">
        <f aca="false">Gate_Only!$H$124</f>
        <v>0.0421815773308225</v>
      </c>
      <c r="F10" s="17" t="n">
        <f aca="false">Gate_Only!$H$125</f>
        <v>0.0571870144159075</v>
      </c>
      <c r="G10" s="17" t="n">
        <f aca="false">Gate_Only!$H$126</f>
        <v>0.0903440091851642</v>
      </c>
      <c r="H10" s="17" t="n">
        <f aca="false">Gate_Only!$H$127</f>
        <v>0.07381908440334</v>
      </c>
      <c r="I10" s="17" t="n">
        <f aca="false">Gate_Only!$H$128</f>
        <v>0.04060401</v>
      </c>
      <c r="J10" s="26" t="n">
        <f aca="false">Gate_Only!$G$129</f>
        <v>88697.763949085</v>
      </c>
    </row>
    <row r="11" customFormat="false" ht="15" hidden="false" customHeight="false" outlineLevel="0" collapsed="false">
      <c r="B11" s="9" t="s">
        <v>134</v>
      </c>
      <c r="C11" s="31" t="n">
        <f aca="false">No_Default!$H$129</f>
        <v>0.0663005813654269</v>
      </c>
      <c r="D11" s="17" t="n">
        <f aca="false">No_Default!$H$123</f>
        <v>0.0521866825360082</v>
      </c>
      <c r="E11" s="17" t="n">
        <f aca="false">No_Default!$H$124</f>
        <v>0.0832358496413976</v>
      </c>
      <c r="F11" s="17" t="n">
        <f aca="false">No_Default!$H$125</f>
        <v>0.0571870144159075</v>
      </c>
      <c r="G11" s="17" t="n">
        <f aca="false">No_Default!$H$126</f>
        <v>0.0903440091851642</v>
      </c>
      <c r="H11" s="17" t="n">
        <f aca="false">No_Default!$H$127</f>
        <v>0.07381908440334</v>
      </c>
      <c r="I11" s="17" t="n">
        <f aca="false">No_Default!$H$128</f>
        <v>0.04060401</v>
      </c>
      <c r="J11" s="26" t="n">
        <f aca="false">No_Default!$G$129</f>
        <v>94539.4689138926</v>
      </c>
    </row>
    <row r="12" customFormat="false" ht="15" hidden="false" customHeight="false" outlineLevel="0" collapsed="false">
      <c r="B12" s="9" t="s">
        <v>135</v>
      </c>
      <c r="C12" s="31" t="n">
        <f aca="false">Corlett_Minus_35!$H$129</f>
        <v>0.0583757695950966</v>
      </c>
      <c r="D12" s="17" t="n">
        <f aca="false">Corlett_Minus_35!$H$123</f>
        <v>0.0521866825360082</v>
      </c>
      <c r="E12" s="17" t="n">
        <f aca="false">Corlett_Minus_35!$H$124</f>
        <v>0.0421815773308225</v>
      </c>
      <c r="F12" s="17" t="n">
        <f aca="false">Corlett_Minus_35!$H$125</f>
        <v>0.0571870144159075</v>
      </c>
      <c r="G12" s="17" t="n">
        <f aca="false">Corlett_Minus_35!$H$126</f>
        <v>0.078137186721192</v>
      </c>
      <c r="H12" s="17" t="n">
        <f aca="false">Corlett_Minus_35!$H$127</f>
        <v>0.07381908440334</v>
      </c>
      <c r="I12" s="17" t="n">
        <f aca="false">Corlett_Minus_35!$H$128</f>
        <v>0.04060401</v>
      </c>
      <c r="J12" s="26" t="n">
        <f aca="false">Corlett_Minus_35!$G$129</f>
        <v>82497.1292135336</v>
      </c>
    </row>
    <row r="14" customFormat="false" ht="15" hidden="false" customHeight="false" outlineLevel="0" collapsed="false">
      <c r="B14" s="6" t="s">
        <v>136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4"/>
    <col collapsed="false" customWidth="true" hidden="false" outlineLevel="0" max="4" min="4" style="0" width="16"/>
    <col collapsed="false" customWidth="true" hidden="false" outlineLevel="0" max="5" min="5" style="0" width="30"/>
  </cols>
  <sheetData>
    <row r="1" customFormat="false" ht="6" hidden="false" customHeight="true" outlineLevel="0" collapsed="false"/>
    <row r="2" customFormat="false" ht="17.35" hidden="false" customHeight="false" outlineLevel="0" collapsed="false">
      <c r="B2" s="5" t="s">
        <v>137</v>
      </c>
    </row>
    <row r="3" customFormat="false" ht="15" hidden="false" customHeight="false" outlineLevel="0" collapsed="false">
      <c r="B3" s="6" t="s">
        <v>138</v>
      </c>
    </row>
    <row r="5" customFormat="false" ht="15" hidden="false" customHeight="false" outlineLevel="0" collapsed="false">
      <c r="B5" s="13" t="s">
        <v>139</v>
      </c>
      <c r="C5" s="14" t="s">
        <v>140</v>
      </c>
      <c r="D5" s="14" t="s">
        <v>141</v>
      </c>
    </row>
    <row r="6" customFormat="false" ht="15" hidden="false" customHeight="false" outlineLevel="0" collapsed="false">
      <c r="B6" s="34" t="n">
        <v>0</v>
      </c>
      <c r="C6" s="26" t="n">
        <f aca="false">Base!$I$129</f>
        <v>-500000</v>
      </c>
      <c r="D6" s="26" t="n">
        <f aca="false">SUM(C$6:C6)</f>
        <v>-500000</v>
      </c>
    </row>
    <row r="7" customFormat="false" ht="15" hidden="false" customHeight="false" outlineLevel="0" collapsed="false">
      <c r="B7" s="34" t="n">
        <v>1</v>
      </c>
      <c r="C7" s="26" t="n">
        <f aca="false">Base!$J$129</f>
        <v>6231.78728070176</v>
      </c>
      <c r="D7" s="26" t="n">
        <f aca="false">SUM(C$6:C7)</f>
        <v>-493768.212719298</v>
      </c>
    </row>
    <row r="8" customFormat="false" ht="15" hidden="false" customHeight="false" outlineLevel="0" collapsed="false">
      <c r="B8" s="34" t="n">
        <v>2</v>
      </c>
      <c r="C8" s="26" t="n">
        <f aca="false">Base!$K$129</f>
        <v>12247.2642338268</v>
      </c>
      <c r="D8" s="26" t="n">
        <f aca="false">SUM(C$6:C8)</f>
        <v>-481520.948485472</v>
      </c>
    </row>
    <row r="9" customFormat="false" ht="15" hidden="false" customHeight="false" outlineLevel="0" collapsed="false">
      <c r="B9" s="34" t="n">
        <v>3</v>
      </c>
      <c r="C9" s="26" t="n">
        <f aca="false">Base!$L$129</f>
        <v>6225.2497786998</v>
      </c>
      <c r="D9" s="26" t="n">
        <f aca="false">SUM(C$6:C9)</f>
        <v>-475295.698706772</v>
      </c>
    </row>
    <row r="10" customFormat="false" ht="15" hidden="false" customHeight="false" outlineLevel="0" collapsed="false">
      <c r="B10" s="34" t="n">
        <v>4</v>
      </c>
      <c r="C10" s="26" t="n">
        <f aca="false">Base!$M$129</f>
        <v>12240.7438927676</v>
      </c>
      <c r="D10" s="26" t="n">
        <f aca="false">SUM(C$6:C10)</f>
        <v>-463054.954814004</v>
      </c>
    </row>
    <row r="11" customFormat="false" ht="15" hidden="false" customHeight="false" outlineLevel="0" collapsed="false">
      <c r="B11" s="34" t="n">
        <v>5</v>
      </c>
      <c r="C11" s="26" t="n">
        <f aca="false">Base!$N$129</f>
        <v>6218.74655353588</v>
      </c>
      <c r="D11" s="26" t="n">
        <f aca="false">SUM(C$6:C11)</f>
        <v>-456836.208260468</v>
      </c>
    </row>
    <row r="12" customFormat="false" ht="15" hidden="false" customHeight="false" outlineLevel="0" collapsed="false">
      <c r="B12" s="34" t="n">
        <v>6</v>
      </c>
      <c r="C12" s="26" t="n">
        <f aca="false">Base!$O$129</f>
        <v>11480.7855163475</v>
      </c>
      <c r="D12" s="26" t="n">
        <f aca="false">SUM(C$6:C12)</f>
        <v>-445355.422744121</v>
      </c>
    </row>
    <row r="13" customFormat="false" ht="15" hidden="false" customHeight="false" outlineLevel="0" collapsed="false">
      <c r="B13" s="34" t="n">
        <v>7</v>
      </c>
      <c r="C13" s="26" t="n">
        <f aca="false">Base!$P$129</f>
        <v>5990.05520327057</v>
      </c>
      <c r="D13" s="26" t="n">
        <f aca="false">SUM(C$6:C13)</f>
        <v>-439365.36754085</v>
      </c>
    </row>
    <row r="14" customFormat="false" ht="15" hidden="false" customHeight="false" outlineLevel="0" collapsed="false">
      <c r="B14" s="34" t="n">
        <v>8</v>
      </c>
      <c r="C14" s="26" t="n">
        <f aca="false">Base!$Q$129</f>
        <v>36474.3333697655</v>
      </c>
      <c r="D14" s="26" t="n">
        <f aca="false">SUM(C$6:C14)</f>
        <v>-402891.034171085</v>
      </c>
    </row>
    <row r="15" customFormat="false" ht="15" hidden="false" customHeight="false" outlineLevel="0" collapsed="false">
      <c r="B15" s="34" t="n">
        <v>9</v>
      </c>
      <c r="C15" s="26" t="n">
        <f aca="false">Base!$R$129</f>
        <v>5983.61999357337</v>
      </c>
      <c r="D15" s="26" t="n">
        <f aca="false">SUM(C$6:C15)</f>
        <v>-396907.414177511</v>
      </c>
    </row>
    <row r="16" customFormat="false" ht="15" hidden="false" customHeight="false" outlineLevel="0" collapsed="false">
      <c r="B16" s="34" t="n">
        <v>10</v>
      </c>
      <c r="C16" s="26" t="n">
        <f aca="false">Base!$S$129</f>
        <v>15867.9150524937</v>
      </c>
      <c r="D16" s="26" t="n">
        <f aca="false">SUM(C$6:C16)</f>
        <v>-381039.499125018</v>
      </c>
    </row>
    <row r="17" customFormat="false" ht="15" hidden="false" customHeight="false" outlineLevel="0" collapsed="false">
      <c r="B17" s="34" t="n">
        <v>11</v>
      </c>
      <c r="C17" s="26" t="n">
        <f aca="false">Base!$T$129</f>
        <v>5977.21852438446</v>
      </c>
      <c r="D17" s="26" t="n">
        <f aca="false">SUM(C$6:C17)</f>
        <v>-375062.280600633</v>
      </c>
    </row>
    <row r="18" customFormat="false" ht="15" hidden="false" customHeight="false" outlineLevel="0" collapsed="false">
      <c r="B18" s="34" t="n">
        <v>12</v>
      </c>
      <c r="C18" s="26" t="n">
        <f aca="false">Base!$U$129</f>
        <v>460321.407164778</v>
      </c>
      <c r="D18" s="26" t="n">
        <f aca="false">SUM(C$6:C18)</f>
        <v>85259.1265641445</v>
      </c>
    </row>
    <row r="20" customFormat="false" ht="15" hidden="false" customHeight="false" outlineLevel="0" collapsed="false">
      <c r="B20" s="9" t="s">
        <v>142</v>
      </c>
      <c r="C20" s="26" t="n">
        <f aca="false">SUM(C7:C17)</f>
        <v>124937.719399367</v>
      </c>
    </row>
    <row r="21" customFormat="false" ht="15" hidden="false" customHeight="false" outlineLevel="0" collapsed="false">
      <c r="B21" s="29" t="s">
        <v>143</v>
      </c>
      <c r="C21" s="30" t="n">
        <f aca="false">SUM(C6:C18)</f>
        <v>85259.1265641445</v>
      </c>
    </row>
    <row r="22" customFormat="false" ht="15" hidden="false" customHeight="false" outlineLevel="0" collapsed="false">
      <c r="B22" s="29" t="s">
        <v>144</v>
      </c>
      <c r="C22" s="31" t="n">
        <f aca="false">Base!$H$129</f>
        <v>0.0602132863026841</v>
      </c>
    </row>
    <row r="23" customFormat="false" ht="15" hidden="false" customHeight="false" outlineLevel="0" collapsed="false">
      <c r="B23" s="9" t="s">
        <v>145</v>
      </c>
      <c r="C23" s="17" t="n">
        <f aca="false">Allocation!$G$23</f>
        <v>0.0745839170334103</v>
      </c>
    </row>
    <row r="24" customFormat="false" ht="15" hidden="false" customHeight="false" outlineLevel="0" collapsed="false">
      <c r="B24" s="9" t="s">
        <v>146</v>
      </c>
      <c r="C24" s="17" t="n">
        <f aca="false">Allocation!$I$23</f>
        <v>0.0767512297137313</v>
      </c>
    </row>
    <row r="25" customFormat="false" ht="15" hidden="false" customHeight="false" outlineLevel="0" collapsed="false">
      <c r="B25" s="9" t="s">
        <v>104</v>
      </c>
      <c r="C25" s="17" t="n">
        <f aca="false">Allocation!$H$23</f>
        <v>0.0630794384024579</v>
      </c>
    </row>
    <row r="26" customFormat="false" ht="15" hidden="false" customHeight="false" outlineLevel="0" collapsed="false">
      <c r="B26" s="9" t="s">
        <v>147</v>
      </c>
      <c r="C26" s="17" t="n">
        <f aca="false">No_Default!$H$129</f>
        <v>0.0663005813654269</v>
      </c>
    </row>
    <row r="27" customFormat="false" ht="15" hidden="false" customHeight="false" outlineLevel="0" collapsed="false">
      <c r="B27" s="9" t="s">
        <v>148</v>
      </c>
      <c r="C27" s="26" t="n">
        <f aca="false">Assumptions!$C$29*Base!$D$16</f>
        <v>5000</v>
      </c>
    </row>
    <row r="28" customFormat="false" ht="15" hidden="false" customHeight="false" outlineLevel="0" collapsed="false">
      <c r="B28" s="9" t="s">
        <v>149</v>
      </c>
      <c r="C28" s="26" t="n">
        <f aca="false">Base!$G$115</f>
        <v>-5687.5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6"/>
    <col collapsed="false" customWidth="true" hidden="false" outlineLevel="0" max="6" min="3" style="0" width="12"/>
    <col collapsed="false" customWidth="true" hidden="false" outlineLevel="0" max="7" min="7" style="0" width="16"/>
  </cols>
  <sheetData>
    <row r="1" customFormat="false" ht="6" hidden="false" customHeight="true" outlineLevel="0" collapsed="false"/>
    <row r="2" customFormat="false" ht="17.35" hidden="false" customHeight="false" outlineLevel="0" collapsed="false">
      <c r="B2" s="5" t="s">
        <v>150</v>
      </c>
    </row>
    <row r="3" customFormat="false" ht="15" hidden="false" customHeight="false" outlineLevel="0" collapsed="false">
      <c r="B3" s="6" t="s">
        <v>151</v>
      </c>
    </row>
    <row r="5" customFormat="false" ht="30" hidden="false" customHeight="true" outlineLevel="0" collapsed="false">
      <c r="B5" s="13" t="s">
        <v>100</v>
      </c>
      <c r="C5" s="14" t="s">
        <v>102</v>
      </c>
      <c r="D5" s="14" t="s">
        <v>103</v>
      </c>
      <c r="E5" s="14" t="s">
        <v>152</v>
      </c>
      <c r="F5" s="14" t="s">
        <v>153</v>
      </c>
      <c r="G5" s="14" t="s">
        <v>154</v>
      </c>
    </row>
    <row r="6" customFormat="false" ht="15" hidden="false" customHeight="false" outlineLevel="0" collapsed="false">
      <c r="B6" s="9" t="s">
        <v>36</v>
      </c>
      <c r="C6" s="17" t="n">
        <f aca="false">Allocation!$F$6</f>
        <v>0.05</v>
      </c>
      <c r="D6" s="17" t="n">
        <f aca="false">Allocation!$G$6</f>
        <v>0.048</v>
      </c>
      <c r="E6" s="17" t="n">
        <f aca="false">Base!$H$105</f>
        <v>0.0485759999999997</v>
      </c>
      <c r="F6" s="26" t="n">
        <f aca="false">Base!$G$105</f>
        <v>2400</v>
      </c>
      <c r="G6" s="17" t="n">
        <f aca="false">C6*(D6-E6)</f>
        <v>-2.87999999999865E-005</v>
      </c>
    </row>
    <row r="7" customFormat="false" ht="15" hidden="false" customHeight="false" outlineLevel="0" collapsed="false">
      <c r="B7" s="9" t="s">
        <v>37</v>
      </c>
      <c r="C7" s="17" t="n">
        <f aca="false">Allocation!$F$7</f>
        <v>0.05</v>
      </c>
      <c r="D7" s="17" t="n">
        <f aca="false">Allocation!$G$7</f>
        <v>0.0495</v>
      </c>
      <c r="E7" s="17" t="n">
        <f aca="false">Base!$H$106</f>
        <v>0.0501125624999987</v>
      </c>
      <c r="F7" s="26" t="n">
        <f aca="false">Base!$G$106</f>
        <v>3712.5</v>
      </c>
      <c r="G7" s="17" t="n">
        <f aca="false">C7*(D7-E7)</f>
        <v>-3.06281249999367E-005</v>
      </c>
    </row>
    <row r="8" customFormat="false" ht="15" hidden="false" customHeight="false" outlineLevel="0" collapsed="false">
      <c r="B8" s="9" t="s">
        <v>38</v>
      </c>
      <c r="C8" s="17" t="n">
        <f aca="false">Allocation!$F$8</f>
        <v>0.05</v>
      </c>
      <c r="D8" s="17" t="n">
        <f aca="false">Allocation!$G$8</f>
        <v>0.0515</v>
      </c>
      <c r="E8" s="17" t="n">
        <f aca="false">Base!$H$107</f>
        <v>0.0521630624999945</v>
      </c>
      <c r="F8" s="26" t="n">
        <f aca="false">Base!$G$107</f>
        <v>3862.5</v>
      </c>
      <c r="G8" s="17" t="n">
        <f aca="false">C8*(D8-E8)</f>
        <v>-3.31531249997234E-005</v>
      </c>
    </row>
    <row r="9" customFormat="false" ht="15" hidden="false" customHeight="false" outlineLevel="0" collapsed="false">
      <c r="B9" s="9" t="s">
        <v>39</v>
      </c>
      <c r="C9" s="17" t="n">
        <f aca="false">Allocation!$F$9</f>
        <v>0.05</v>
      </c>
      <c r="D9" s="17" t="n">
        <f aca="false">Allocation!$G$9</f>
        <v>0.053</v>
      </c>
      <c r="E9" s="17" t="n">
        <f aca="false">Base!$H$108</f>
        <v>0.0537022499999846</v>
      </c>
      <c r="F9" s="26" t="n">
        <f aca="false">Base!$G$108</f>
        <v>3975</v>
      </c>
      <c r="G9" s="17" t="n">
        <f aca="false">C9*(D9-E9)</f>
        <v>-3.51124999992316E-005</v>
      </c>
    </row>
    <row r="10" customFormat="false" ht="15" hidden="false" customHeight="false" outlineLevel="0" collapsed="false">
      <c r="B10" s="9" t="s">
        <v>40</v>
      </c>
      <c r="C10" s="17" t="n">
        <f aca="false">Allocation!$F$10</f>
        <v>0.05</v>
      </c>
      <c r="D10" s="17" t="n">
        <f aca="false">Allocation!$G$10</f>
        <v>0.0545</v>
      </c>
      <c r="E10" s="17" t="n">
        <f aca="false">Base!$H$109</f>
        <v>0.0552425624999637</v>
      </c>
      <c r="F10" s="26" t="n">
        <f aca="false">Base!$G$109</f>
        <v>4087.5</v>
      </c>
      <c r="G10" s="17" t="n">
        <f aca="false">C10*(D10-E10)</f>
        <v>-3.71281249981866E-005</v>
      </c>
    </row>
    <row r="11" customFormat="false" ht="15" hidden="false" customHeight="false" outlineLevel="0" collapsed="false">
      <c r="B11" s="9" t="s">
        <v>47</v>
      </c>
      <c r="C11" s="17" t="n">
        <f aca="false">Allocation!$F$11</f>
        <v>0.02475</v>
      </c>
      <c r="D11" s="17" t="n">
        <f aca="false">Allocation!$G$11</f>
        <v>0.0699042470751673</v>
      </c>
      <c r="E11" s="17" t="n">
        <f aca="false">Base!$H$110</f>
        <v>0.0711258980149541</v>
      </c>
      <c r="F11" s="26" t="n">
        <f aca="false">Base!$G$110</f>
        <v>2601.05003922723</v>
      </c>
      <c r="G11" s="17" t="n">
        <f aca="false">C11*(D11-E11)</f>
        <v>-3.02358607597232E-005</v>
      </c>
    </row>
    <row r="12" customFormat="false" ht="15" hidden="false" customHeight="false" outlineLevel="0" collapsed="false">
      <c r="B12" s="9" t="s">
        <v>48</v>
      </c>
      <c r="C12" s="17" t="n">
        <f aca="false">Allocation!$F$12</f>
        <v>0.024625</v>
      </c>
      <c r="D12" s="17" t="n">
        <f aca="false">Allocation!$G$12</f>
        <v>0.0736404123832243</v>
      </c>
      <c r="E12" s="17" t="n">
        <f aca="false">Base!$H$111</f>
        <v>0.0749961399672177</v>
      </c>
      <c r="F12" s="26" t="n">
        <f aca="false">Base!$G$111</f>
        <v>2729.28784323328</v>
      </c>
      <c r="G12" s="17" t="n">
        <f aca="false">C12*(D12-E12)</f>
        <v>-3.33847917558374E-005</v>
      </c>
    </row>
    <row r="13" customFormat="false" ht="15" hidden="false" customHeight="false" outlineLevel="0" collapsed="false">
      <c r="B13" s="9" t="s">
        <v>49</v>
      </c>
      <c r="C13" s="17" t="n">
        <f aca="false">Allocation!$F$13</f>
        <v>0.0245</v>
      </c>
      <c r="D13" s="17" t="n">
        <f aca="false">Allocation!$G$13</f>
        <v>0.0773997713205988</v>
      </c>
      <c r="E13" s="17" t="n">
        <f aca="false">Base!$H$112</f>
        <v>0.0788974524707193</v>
      </c>
      <c r="F13" s="26" t="n">
        <f aca="false">Base!$G$112</f>
        <v>2857.24820495744</v>
      </c>
      <c r="G13" s="17" t="n">
        <f aca="false">C13*(D13-E13)</f>
        <v>-3.66931881779533E-005</v>
      </c>
    </row>
    <row r="14" customFormat="false" ht="15" hidden="false" customHeight="false" outlineLevel="0" collapsed="false">
      <c r="B14" s="9" t="s">
        <v>50</v>
      </c>
      <c r="C14" s="17" t="n">
        <f aca="false">Allocation!$F$14</f>
        <v>0.024375</v>
      </c>
      <c r="D14" s="17" t="n">
        <f aca="false">Allocation!$G$14</f>
        <v>0.0811827080590467</v>
      </c>
      <c r="E14" s="17" t="n">
        <f aca="false">Base!$H$113</f>
        <v>0.0828303660809961</v>
      </c>
      <c r="F14" s="26" t="n">
        <f aca="false">Base!$G$113</f>
        <v>2984.92912302306</v>
      </c>
      <c r="G14" s="17" t="n">
        <f aca="false">C14*(D14-E14)</f>
        <v>-4.01616642850189E-005</v>
      </c>
    </row>
    <row r="15" customFormat="false" ht="15" hidden="false" customHeight="false" outlineLevel="0" collapsed="false">
      <c r="B15" s="9" t="s">
        <v>51</v>
      </c>
      <c r="C15" s="17" t="n">
        <f aca="false">Allocation!$F$15</f>
        <v>0.02425</v>
      </c>
      <c r="D15" s="17" t="n">
        <f aca="false">Allocation!$G$15</f>
        <v>0.0875368825411204</v>
      </c>
      <c r="E15" s="17" t="n">
        <f aca="false">Base!$H$114</f>
        <v>0.0894525589923749</v>
      </c>
      <c r="F15" s="26" t="n">
        <f aca="false">Base!$G$114</f>
        <v>3205.51966201715</v>
      </c>
      <c r="G15" s="17" t="n">
        <f aca="false">C15*(D15-E15)</f>
        <v>-4.64551539429212E-005</v>
      </c>
    </row>
    <row r="16" customFormat="false" ht="15" hidden="false" customHeight="false" outlineLevel="0" collapsed="false">
      <c r="B16" s="9" t="s">
        <v>52</v>
      </c>
      <c r="C16" s="17" t="n">
        <f aca="false">Allocation!$F$16</f>
        <v>0.0235</v>
      </c>
      <c r="D16" s="17" t="n">
        <f aca="false">Allocation!$G$16</f>
        <v>0.100561753609911</v>
      </c>
      <c r="E16" s="17" t="n">
        <f aca="false">Base!$H$115</f>
        <v>-0.254569160102313</v>
      </c>
      <c r="F16" s="26" t="n">
        <f aca="false">Base!$G$115</f>
        <v>-5687.5</v>
      </c>
      <c r="G16" s="17" t="n">
        <f aca="false">C16*(D16-E16)</f>
        <v>0.00834557647223727</v>
      </c>
    </row>
    <row r="17" customFormat="false" ht="15" hidden="false" customHeight="false" outlineLevel="0" collapsed="false">
      <c r="B17" s="9" t="s">
        <v>109</v>
      </c>
      <c r="C17" s="17" t="n">
        <f aca="false">Allocation!$F$17</f>
        <v>0.15</v>
      </c>
      <c r="D17" s="17" t="n">
        <f aca="false">Allocation!$G$17</f>
        <v>0.0665</v>
      </c>
      <c r="E17" s="17" t="n">
        <f aca="false">Base!$H$116</f>
        <v>0.0571870144159075</v>
      </c>
      <c r="F17" s="26" t="n">
        <f aca="false">Base!$G$116</f>
        <v>12419.6698725582</v>
      </c>
      <c r="G17" s="17" t="n">
        <f aca="false">C17*(D17-E17)</f>
        <v>0.00139694783761388</v>
      </c>
    </row>
    <row r="18" customFormat="false" ht="15" hidden="false" customHeight="false" outlineLevel="0" collapsed="false">
      <c r="B18" s="9" t="s">
        <v>64</v>
      </c>
      <c r="C18" s="17" t="n">
        <f aca="false">Allocation!$F$18</f>
        <v>0.05</v>
      </c>
      <c r="D18" s="17" t="n">
        <f aca="false">Allocation!$G$18</f>
        <v>0.101052631578947</v>
      </c>
      <c r="E18" s="17" t="n">
        <f aca="false">Base!$H$117</f>
        <v>0.101582241333456</v>
      </c>
      <c r="F18" s="26" t="n">
        <f aca="false">Base!$G$117</f>
        <v>7310.24080389558</v>
      </c>
      <c r="G18" s="17" t="n">
        <f aca="false">C18*(D18-E18)</f>
        <v>-2.64804877254513E-005</v>
      </c>
    </row>
    <row r="19" customFormat="false" ht="15" hidden="false" customHeight="false" outlineLevel="0" collapsed="false">
      <c r="B19" s="9" t="s">
        <v>65</v>
      </c>
      <c r="C19" s="17" t="n">
        <f aca="false">Allocation!$F$19</f>
        <v>0.05</v>
      </c>
      <c r="D19" s="17" t="n">
        <f aca="false">Allocation!$G$19</f>
        <v>0.106666666666667</v>
      </c>
      <c r="E19" s="17" t="n">
        <f aca="false">Base!$H$118</f>
        <v>0.0909166712365557</v>
      </c>
      <c r="F19" s="26" t="n">
        <f aca="false">Base!$G$118</f>
        <v>6415.2084261635</v>
      </c>
      <c r="G19" s="17" t="n">
        <f aca="false">C19*(D19-E19)</f>
        <v>0.00078749977150555</v>
      </c>
    </row>
    <row r="20" customFormat="false" ht="15" hidden="false" customHeight="false" outlineLevel="0" collapsed="false">
      <c r="B20" s="9" t="s">
        <v>66</v>
      </c>
      <c r="C20" s="17" t="n">
        <f aca="false">Allocation!$F$20</f>
        <v>0.05</v>
      </c>
      <c r="D20" s="17" t="n">
        <f aca="false">Allocation!$G$20</f>
        <v>0.146666666666667</v>
      </c>
      <c r="E20" s="17" t="n">
        <f aca="false">Base!$H$119</f>
        <v>0.0776161128438713</v>
      </c>
      <c r="F20" s="26" t="n">
        <f aca="false">Base!$G$119</f>
        <v>5159.42457402619</v>
      </c>
      <c r="G20" s="17" t="n">
        <f aca="false">C20*(D20-E20)</f>
        <v>0.00345252769113977</v>
      </c>
    </row>
    <row r="21" customFormat="false" ht="15" hidden="false" customHeight="false" outlineLevel="0" collapsed="false">
      <c r="B21" s="9" t="s">
        <v>112</v>
      </c>
      <c r="C21" s="17" t="n">
        <f aca="false">Allocation!$F$21</f>
        <v>0.2</v>
      </c>
      <c r="D21" s="17" t="n">
        <f aca="false">Allocation!$G$21</f>
        <v>0.09</v>
      </c>
      <c r="E21" s="17" t="n">
        <f aca="false">Base!$H$120</f>
        <v>0.07381908440334</v>
      </c>
      <c r="F21" s="26" t="n">
        <f aca="false">Base!$G$120</f>
        <v>20986.5480150429</v>
      </c>
      <c r="G21" s="17" t="n">
        <f aca="false">C21*(D21-E21)</f>
        <v>0.00323618311933201</v>
      </c>
    </row>
    <row r="22" customFormat="false" ht="15" hidden="false" customHeight="false" outlineLevel="0" collapsed="false">
      <c r="B22" s="9" t="s">
        <v>114</v>
      </c>
      <c r="C22" s="17" t="n">
        <f aca="false">Allocation!$F$22</f>
        <v>0.104</v>
      </c>
      <c r="D22" s="17" t="n">
        <f aca="false">Allocation!$G$22</f>
        <v>0.04</v>
      </c>
      <c r="E22" s="17" t="n">
        <f aca="false">Base!$H$121</f>
        <v>0.04060401</v>
      </c>
      <c r="F22" s="26" t="n">
        <f aca="false">Base!$G$121</f>
        <v>6240</v>
      </c>
      <c r="G22" s="17" t="n">
        <f aca="false">C22*(D22-E22)</f>
        <v>-6.28170400000024E-005</v>
      </c>
    </row>
    <row r="23" customFormat="false" ht="15" hidden="false" customHeight="false" outlineLevel="0" collapsed="false">
      <c r="B23" s="29" t="s">
        <v>155</v>
      </c>
      <c r="G23" s="31" t="n">
        <f aca="false">SUM(G6:G22)</f>
        <v>0.0167776848301845</v>
      </c>
    </row>
    <row r="24" customFormat="false" ht="15" hidden="false" customHeight="false" outlineLevel="0" collapsed="false">
      <c r="B24" s="9" t="s">
        <v>156</v>
      </c>
      <c r="G24" s="17" t="n">
        <f aca="false">Allocation!$G$23-Base_Quarterly!$C$22</f>
        <v>0.0143706307307263</v>
      </c>
    </row>
    <row r="26" customFormat="false" ht="15" hidden="false" customHeight="false" outlineLevel="0" collapsed="false">
      <c r="B26" s="9" t="s">
        <v>157</v>
      </c>
      <c r="G26" s="33" t="n">
        <f aca="false">C16+C20</f>
        <v>0.0735</v>
      </c>
    </row>
    <row r="27" customFormat="false" ht="15" hidden="false" customHeight="false" outlineLevel="0" collapsed="false">
      <c r="B27" s="9" t="s">
        <v>158</v>
      </c>
      <c r="G27" s="17" t="n">
        <f aca="false">G16+G20</f>
        <v>0.011798104163377</v>
      </c>
    </row>
    <row r="28" customFormat="false" ht="15" hidden="false" customHeight="false" outlineLevel="0" collapsed="false">
      <c r="B28" s="29" t="s">
        <v>159</v>
      </c>
      <c r="G28" s="35" t="n">
        <f aca="false">$G$27/$G$23</f>
        <v>0.703202157078981</v>
      </c>
    </row>
    <row r="30" customFormat="false" ht="15" hidden="false" customHeight="false" outlineLevel="0" collapsed="false">
      <c r="B30" s="7" t="s">
        <v>160</v>
      </c>
      <c r="C30" s="8"/>
      <c r="D30" s="8"/>
    </row>
    <row r="31" customFormat="false" ht="15" hidden="false" customHeight="false" outlineLevel="0" collapsed="false">
      <c r="B31" s="9" t="s">
        <v>161</v>
      </c>
      <c r="C31" s="17" t="n">
        <f aca="false">Base!$H$123</f>
        <v>0.0521866825360082</v>
      </c>
    </row>
    <row r="32" customFormat="false" ht="15" hidden="false" customHeight="false" outlineLevel="0" collapsed="false">
      <c r="B32" s="9" t="s">
        <v>162</v>
      </c>
      <c r="C32" s="17" t="n">
        <f aca="false">Base!$H$124</f>
        <v>0.0421815773308225</v>
      </c>
    </row>
    <row r="33" customFormat="false" ht="15" hidden="false" customHeight="false" outlineLevel="0" collapsed="false">
      <c r="B33" s="9" t="s">
        <v>163</v>
      </c>
      <c r="C33" s="17" t="n">
        <f aca="false">Base!$H$125</f>
        <v>0.0571870144159075</v>
      </c>
    </row>
    <row r="34" customFormat="false" ht="15" hidden="false" customHeight="false" outlineLevel="0" collapsed="false">
      <c r="B34" s="9" t="s">
        <v>164</v>
      </c>
      <c r="C34" s="17" t="n">
        <f aca="false">Base!$H$126</f>
        <v>0.0903440091851642</v>
      </c>
    </row>
    <row r="35" customFormat="false" ht="15" hidden="false" customHeight="false" outlineLevel="0" collapsed="false">
      <c r="B35" s="9" t="s">
        <v>165</v>
      </c>
      <c r="C35" s="17" t="n">
        <f aca="false">Base!$H$127</f>
        <v>0.07381908440334</v>
      </c>
    </row>
    <row r="36" customFormat="false" ht="15" hidden="false" customHeight="false" outlineLevel="0" collapsed="false">
      <c r="B36" s="9" t="s">
        <v>166</v>
      </c>
      <c r="C36" s="17" t="n">
        <f aca="false">Base!$H$128</f>
        <v>0.04060401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4" min="3" style="0" width="14"/>
  </cols>
  <sheetData>
    <row r="1" customFormat="false" ht="6" hidden="false" customHeight="true" outlineLevel="0" collapsed="false"/>
    <row r="2" customFormat="false" ht="17.35" hidden="false" customHeight="false" outlineLevel="0" collapsed="false">
      <c r="B2" s="5" t="s">
        <v>167</v>
      </c>
    </row>
    <row r="3" customFormat="false" ht="15" hidden="false" customHeight="false" outlineLevel="0" collapsed="false">
      <c r="B3" s="6" t="s">
        <v>168</v>
      </c>
    </row>
    <row r="5" customFormat="false" ht="15" hidden="false" customHeight="false" outlineLevel="0" collapsed="false">
      <c r="B5" s="13" t="s">
        <v>169</v>
      </c>
      <c r="C5" s="14" t="s">
        <v>170</v>
      </c>
      <c r="D5" s="14" t="s">
        <v>171</v>
      </c>
    </row>
    <row r="6" customFormat="false" ht="15" hidden="false" customHeight="false" outlineLevel="0" collapsed="false">
      <c r="B6" s="9" t="s">
        <v>172</v>
      </c>
      <c r="C6" s="22" t="n">
        <f aca="false">Base!$M$82</f>
        <v>0.879030970306436</v>
      </c>
      <c r="D6" s="22" t="n">
        <f aca="false">Base!$Q$82</f>
        <v>1.04011072370289</v>
      </c>
    </row>
    <row r="7" customFormat="false" ht="15" hidden="false" customHeight="false" outlineLevel="0" collapsed="false">
      <c r="B7" s="9" t="s">
        <v>173</v>
      </c>
      <c r="C7" s="36" t="n">
        <f aca="false">Base!$M$81</f>
        <v>10.7243644259454</v>
      </c>
      <c r="D7" s="36" t="n">
        <f aca="false">Base!$Q$81</f>
        <v>10.3290821689262</v>
      </c>
    </row>
    <row r="8" customFormat="false" ht="15" hidden="false" customHeight="false" outlineLevel="0" collapsed="false">
      <c r="B8" s="9" t="s">
        <v>174</v>
      </c>
      <c r="C8" s="22" t="n">
        <f aca="false">Base!$M$54</f>
        <v>1.02989953356199</v>
      </c>
      <c r="D8" s="22" t="n">
        <f aca="false">Base!$Q$54</f>
        <v>1.02235920384937</v>
      </c>
    </row>
    <row r="9" customFormat="false" ht="15" hidden="false" customHeight="false" outlineLevel="0" collapsed="false">
      <c r="B9" s="9" t="s">
        <v>175</v>
      </c>
      <c r="C9" s="22" t="n">
        <f aca="false">Base!$M$68</f>
        <v>1.0544060695271</v>
      </c>
      <c r="D9" s="22" t="n">
        <f aca="false">Base!$Q$68</f>
        <v>1.05574092709148</v>
      </c>
    </row>
    <row r="10" customFormat="false" ht="15" hidden="false" customHeight="false" outlineLevel="0" collapsed="false">
      <c r="B10" s="9" t="s">
        <v>176</v>
      </c>
      <c r="C10" s="36" t="n">
        <f aca="false">Base!$M$97</f>
        <v>24.5341163459868</v>
      </c>
      <c r="D10" s="36" t="n">
        <f aca="false">Base!$Q$97</f>
        <v>24.0338415871958</v>
      </c>
    </row>
    <row r="11" customFormat="false" ht="15" hidden="false" customHeight="false" outlineLevel="0" collapsed="false">
      <c r="B11" s="9" t="s">
        <v>177</v>
      </c>
      <c r="C11" s="33" t="n">
        <f aca="false">Base!$M$98</f>
        <v>0.979129186614587</v>
      </c>
      <c r="D11" s="33" t="n">
        <f aca="false">Base!$Q$98</f>
        <v>0.959611271892303</v>
      </c>
    </row>
    <row r="12" customFormat="false" ht="15" hidden="false" customHeight="false" outlineLevel="0" collapsed="false">
      <c r="B12" s="9" t="s">
        <v>178</v>
      </c>
      <c r="C12" s="36" t="n">
        <f aca="false">Base!$M$40</f>
        <v>9.89541271445919</v>
      </c>
      <c r="D12" s="36" t="n">
        <f aca="false">Base!$Q$40</f>
        <v>9.79191927894805</v>
      </c>
    </row>
    <row r="14" customFormat="false" ht="15" hidden="false" customHeight="false" outlineLevel="0" collapsed="false">
      <c r="B14" s="9" t="s">
        <v>179</v>
      </c>
      <c r="C14" s="33" t="n">
        <f aca="false">1-Base!$M$81/Base!$I$81</f>
        <v>0.0467231621381886</v>
      </c>
    </row>
    <row r="15" customFormat="false" ht="15" hidden="false" customHeight="false" outlineLevel="0" collapsed="false">
      <c r="B15" s="9" t="s">
        <v>180</v>
      </c>
      <c r="C15" s="33" t="n">
        <f aca="false">1-Base!$M$53/Base!$I$53</f>
        <v>0.00301154064756159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181</v>
      </c>
    </row>
    <row r="3" customFormat="false" ht="15" hidden="false" customHeight="false" outlineLevel="0" collapsed="false">
      <c r="B3" s="6" t="s">
        <v>182</v>
      </c>
    </row>
    <row r="5" customFormat="false" ht="15" hidden="false" customHeight="false" outlineLevel="0" collapsed="false">
      <c r="B5" s="7" t="s">
        <v>183</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7.45739284664943</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5159.42457402619</v>
      </c>
      <c r="H119" s="31" t="n">
        <f aca="false">(1+IRR(I119:Y119,IF(SUM(I119:Y119)&lt;0,-0.05,0.01)))^4-1</f>
        <v>0.0776161128438713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21409.4245740262</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20986.5480150429</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96236.5480150429</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8690.53487245816</v>
      </c>
      <c r="H124" s="31" t="n">
        <f aca="false">(1+IRR(I124:Y124,IF(SUM(I124:Y124)&lt;0,-0.05,0.01)))^4-1</f>
        <v>0.0421815773308225</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64221.7848724582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18884.8738040853</v>
      </c>
      <c r="H126" s="31" t="n">
        <f aca="false">(1+IRR(I126:Y126,IF(SUM(I126:Y126)&lt;0,-0.05,0.01)))^4-1</f>
        <v>0.0903440091851642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70854.1720496993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20986.5480150429</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96236.5480150429</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85259.1265641445</v>
      </c>
      <c r="H129" s="31" t="n">
        <f aca="false">(1+IRR(I129:Y129,IF(SUM(I129:Y129)&lt;0,-0.05,0.01)))^4-1</f>
        <v>0.0602132863026841</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11480.7855163475</v>
      </c>
      <c r="P129" s="45" t="n">
        <f aca="false">SUM(P105:P121)</f>
        <v>5990.05520327057</v>
      </c>
      <c r="Q129" s="45" t="n">
        <f aca="false">SUM(Q105:Q121)</f>
        <v>36474.3333697655</v>
      </c>
      <c r="R129" s="45" t="n">
        <f aca="false">SUM(R105:R121)</f>
        <v>5983.61999357337</v>
      </c>
      <c r="S129" s="45" t="n">
        <f aca="false">SUM(S105:S121)</f>
        <v>15867.9150524937</v>
      </c>
      <c r="T129" s="45" t="n">
        <f aca="false">SUM(T105:T121)</f>
        <v>5977.21852438446</v>
      </c>
      <c r="U129" s="45" t="n">
        <f aca="false">SUM(U105:U121)</f>
        <v>460321.407164778</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254</v>
      </c>
    </row>
    <row r="3" customFormat="false" ht="15" hidden="false" customHeight="false" outlineLevel="0" collapsed="false">
      <c r="B3" s="6" t="s">
        <v>182</v>
      </c>
    </row>
    <row r="5" customFormat="false" ht="15" hidden="false" customHeight="false" outlineLevel="0" collapsed="false">
      <c r="B5" s="7" t="s">
        <v>255</v>
      </c>
      <c r="C5" s="8"/>
      <c r="D5" s="8"/>
      <c r="E5" s="8"/>
      <c r="F5" s="8"/>
      <c r="G5" s="8"/>
      <c r="H5" s="8"/>
    </row>
    <row r="6" customFormat="false" ht="15" hidden="false" customHeight="false" outlineLevel="0" collapsed="false">
      <c r="B6" s="9" t="s">
        <v>184</v>
      </c>
      <c r="C6" s="10" t="n">
        <v>0.02</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21" t="n">
        <v>0.04</v>
      </c>
    </row>
    <row r="18" customFormat="false" ht="15" hidden="false" customHeight="false" outlineLevel="0" collapsed="false">
      <c r="B18" s="9" t="s">
        <v>194</v>
      </c>
      <c r="C18" s="33" t="n">
        <f aca="false">$C$17</f>
        <v>0.04</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21" t="n">
        <v>0.03</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0.06</v>
      </c>
      <c r="K32" s="17" t="n">
        <f aca="false">IF(K$31=0,Assumptions!$C$6,Assumptions!$C$6+$C$6+IF(K$31&gt;=5,$C$7,0))</f>
        <v>0.06</v>
      </c>
      <c r="L32" s="17" t="n">
        <f aca="false">IF(L$31=0,Assumptions!$C$6,Assumptions!$C$6+$C$6+IF(L$31&gt;=5,$C$7,0))</f>
        <v>0.06</v>
      </c>
      <c r="M32" s="17" t="n">
        <f aca="false">IF(M$31=0,Assumptions!$C$6,Assumptions!$C$6+$C$6+IF(M$31&gt;=5,$C$7,0))</f>
        <v>0.06</v>
      </c>
      <c r="N32" s="17" t="n">
        <f aca="false">IF(N$31=0,Assumptions!$C$6,Assumptions!$C$6+$C$6+IF(N$31&gt;=5,$C$7,0))</f>
        <v>0.06</v>
      </c>
      <c r="O32" s="17" t="n">
        <f aca="false">IF(O$31=0,Assumptions!$C$6,Assumptions!$C$6+$C$6+IF(O$31&gt;=5,$C$7,0))</f>
        <v>0.06</v>
      </c>
      <c r="P32" s="17" t="n">
        <f aca="false">IF(P$31=0,Assumptions!$C$6,Assumptions!$C$6+$C$6+IF(P$31&gt;=5,$C$7,0))</f>
        <v>0.06</v>
      </c>
      <c r="Q32" s="17" t="n">
        <f aca="false">IF(Q$31=0,Assumptions!$C$6,Assumptions!$C$6+$C$6+IF(Q$31&gt;=5,$C$7,0))</f>
        <v>0.06</v>
      </c>
      <c r="R32" s="17" t="n">
        <f aca="false">IF(R$31=0,Assumptions!$C$6,Assumptions!$C$6+$C$6+IF(R$31&gt;=5,$C$7,0))</f>
        <v>0.06</v>
      </c>
      <c r="S32" s="17" t="n">
        <f aca="false">IF(S$31=0,Assumptions!$C$6,Assumptions!$C$6+$C$6+IF(S$31&gt;=5,$C$7,0))</f>
        <v>0.06</v>
      </c>
      <c r="T32" s="17" t="n">
        <f aca="false">IF(T$31=0,Assumptions!$C$6,Assumptions!$C$6+$C$6+IF(T$31&gt;=5,$C$7,0))</f>
        <v>0.06</v>
      </c>
      <c r="U32" s="17" t="n">
        <f aca="false">IF(U$31=0,Assumptions!$C$6,Assumptions!$C$6+$C$6+IF(U$31&gt;=5,$C$7,0))</f>
        <v>0.06</v>
      </c>
      <c r="V32" s="17" t="n">
        <f aca="false">IF(V$31=0,Assumptions!$C$6,Assumptions!$C$6+$C$6+IF(V$31&gt;=5,$C$7,0))</f>
        <v>0.06</v>
      </c>
      <c r="W32" s="17" t="n">
        <f aca="false">IF(W$31=0,Assumptions!$C$6,Assumptions!$C$6+$C$6+IF(W$31&gt;=5,$C$7,0))</f>
        <v>0.06</v>
      </c>
      <c r="X32" s="17" t="n">
        <f aca="false">IF(X$31=0,Assumptions!$C$6,Assumptions!$C$6+$C$6+IF(X$31&gt;=5,$C$7,0))</f>
        <v>0.06</v>
      </c>
      <c r="Y32" s="17" t="n">
        <f aca="false">IF(Y$31=0,Assumptions!$C$6,Assumptions!$C$6+$C$6+IF(Y$31&gt;=5,$C$7,0))</f>
        <v>0.06</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0.0865</v>
      </c>
    </row>
    <row r="37" customFormat="false" ht="15" hidden="false" customHeight="false" outlineLevel="0" collapsed="false">
      <c r="B37" s="9" t="s">
        <v>210</v>
      </c>
      <c r="J37" s="33" t="n">
        <f aca="false">IF(AND(J$31&gt;=5,J$31&lt;=8),$C$18,$C$17)</f>
        <v>0.04</v>
      </c>
      <c r="K37" s="33" t="n">
        <f aca="false">IF(AND(K$31&gt;=5,K$31&lt;=8),$C$18,$C$17)</f>
        <v>0.04</v>
      </c>
      <c r="L37" s="33" t="n">
        <f aca="false">IF(AND(L$31&gt;=5,L$31&lt;=8),$C$18,$C$17)</f>
        <v>0.04</v>
      </c>
      <c r="M37" s="33" t="n">
        <f aca="false">IF(AND(M$31&gt;=5,M$31&lt;=8),$C$18,$C$17)</f>
        <v>0.04</v>
      </c>
      <c r="N37" s="33" t="n">
        <f aca="false">IF(AND(N$31&gt;=5,N$31&lt;=8),$C$18,$C$17)</f>
        <v>0.04</v>
      </c>
      <c r="O37" s="33" t="n">
        <f aca="false">IF(AND(O$31&gt;=5,O$31&lt;=8),$C$18,$C$17)</f>
        <v>0.04</v>
      </c>
      <c r="P37" s="33" t="n">
        <f aca="false">IF(AND(P$31&gt;=5,P$31&lt;=8),$C$18,$C$17)</f>
        <v>0.04</v>
      </c>
      <c r="Q37" s="33" t="n">
        <f aca="false">IF(AND(Q$31&gt;=5,Q$31&lt;=8),$C$18,$C$17)</f>
        <v>0.04</v>
      </c>
      <c r="R37" s="33" t="n">
        <f aca="false">IF(AND(R$31&gt;=5,R$31&lt;=8),$C$18,$C$17)</f>
        <v>0.04</v>
      </c>
      <c r="S37" s="33" t="n">
        <f aca="false">IF(AND(S$31&gt;=5,S$31&lt;=8),$C$18,$C$17)</f>
        <v>0.04</v>
      </c>
      <c r="T37" s="33" t="n">
        <f aca="false">IF(AND(T$31&gt;=5,T$31&lt;=8),$C$18,$C$17)</f>
        <v>0.04</v>
      </c>
      <c r="U37" s="33" t="n">
        <f aca="false">IF(AND(U$31&gt;=5,U$31&lt;=8),$C$18,$C$17)</f>
        <v>0.04</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0.21625</v>
      </c>
      <c r="K39" s="42" t="n">
        <f aca="false">J40*(K32+Assumptions!$C$42-Assumptions!$C$43)/4</f>
        <v>0.215493125</v>
      </c>
      <c r="L39" s="42" t="n">
        <f aca="false">K40*(L32+Assumptions!$C$42-Assumptions!$C$43)/4</f>
        <v>0.2147388990625</v>
      </c>
      <c r="M39" s="42" t="n">
        <f aca="false">L40*(M32+Assumptions!$C$42-Assumptions!$C$43)/4</f>
        <v>0.213987312915781</v>
      </c>
      <c r="N39" s="42" t="n">
        <f aca="false">M40*(N32+Assumptions!$C$42-Assumptions!$C$43)/4</f>
        <v>0.213238357320576</v>
      </c>
      <c r="O39" s="42" t="n">
        <f aca="false">N40*(O32+Assumptions!$C$42-Assumptions!$C$43)/4</f>
        <v>0.212492023069954</v>
      </c>
      <c r="P39" s="42" t="n">
        <f aca="false">O40*(P32+Assumptions!$C$42-Assumptions!$C$43)/4</f>
        <v>0.211748300989209</v>
      </c>
      <c r="Q39" s="42" t="n">
        <f aca="false">P40*(Q32+Assumptions!$C$42-Assumptions!$C$43)/4</f>
        <v>0.211007181935747</v>
      </c>
      <c r="R39" s="42" t="n">
        <f aca="false">Q40*(R32+Assumptions!$C$42-Assumptions!$C$43)/4</f>
        <v>0.210268656798972</v>
      </c>
      <c r="S39" s="42" t="n">
        <f aca="false">R40*(S32+Assumptions!$C$42-Assumptions!$C$43)/4</f>
        <v>0.209532716500176</v>
      </c>
      <c r="T39" s="42" t="n">
        <f aca="false">S40*(T32+Assumptions!$C$42-Assumptions!$C$43)/4</f>
        <v>0.208799351992425</v>
      </c>
      <c r="U39" s="42" t="n">
        <f aca="false">T40*(U32+Assumptions!$C$42-Assumptions!$C$43)/4</f>
        <v>0.208068554260451</v>
      </c>
    </row>
    <row r="40" customFormat="false" ht="15" hidden="false" customHeight="false" outlineLevel="0" collapsed="false">
      <c r="B40" s="9" t="s">
        <v>212</v>
      </c>
      <c r="I40" s="36" t="n">
        <f aca="false">Assumptions!$C$41</f>
        <v>10</v>
      </c>
      <c r="J40" s="36" t="n">
        <f aca="false">I40*(1-J37*J38/4)</f>
        <v>9.965</v>
      </c>
      <c r="K40" s="36" t="n">
        <f aca="false">J40*(1-K37*K38/4)</f>
        <v>9.9301225</v>
      </c>
      <c r="L40" s="36" t="n">
        <f aca="false">K40*(1-L37*L38/4)</f>
        <v>9.89536707125</v>
      </c>
      <c r="M40" s="36" t="n">
        <f aca="false">L40*(1-M37*M38/4)</f>
        <v>9.86073328650063</v>
      </c>
      <c r="N40" s="36" t="n">
        <f aca="false">M40*(1-N37*N38/4)</f>
        <v>9.82622071999787</v>
      </c>
      <c r="O40" s="36" t="n">
        <f aca="false">N40*(1-O37*O38/4)</f>
        <v>9.79182894747788</v>
      </c>
      <c r="P40" s="36" t="n">
        <f aca="false">O40*(1-P37*P38/4)</f>
        <v>9.75755754616171</v>
      </c>
      <c r="Q40" s="36" t="n">
        <f aca="false">P40*(1-Q37*Q38/4)</f>
        <v>9.72340609475014</v>
      </c>
      <c r="R40" s="36" t="n">
        <f aca="false">Q40*(1-R37*R38/4)</f>
        <v>9.68937417341852</v>
      </c>
      <c r="S40" s="36" t="n">
        <f aca="false">R40*(1-S37*S38/4)</f>
        <v>9.65546136381156</v>
      </c>
      <c r="T40" s="36" t="n">
        <f aca="false">S40*(1-T37*T38/4)</f>
        <v>9.62166724903822</v>
      </c>
      <c r="U40" s="36" t="n">
        <f aca="false">T40*(1-U37*U38/4)</f>
        <v>9.58799141366658</v>
      </c>
    </row>
    <row r="41" customFormat="false" ht="15" hidden="false" customHeight="false" outlineLevel="0" collapsed="false">
      <c r="B41" s="9" t="s">
        <v>213</v>
      </c>
      <c r="C41" s="26" t="n">
        <f aca="false">$C$35*SUM(J39:U39)</f>
        <v>19092.1835988434</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0.129</v>
      </c>
      <c r="K47" s="17" t="n">
        <f aca="false">K32+Assumptions!$C$53</f>
        <v>0.129</v>
      </c>
      <c r="L47" s="17" t="n">
        <f aca="false">L32+Assumptions!$C$53</f>
        <v>0.129</v>
      </c>
      <c r="M47" s="17" t="n">
        <f aca="false">M32+Assumptions!$C$53</f>
        <v>0.129</v>
      </c>
      <c r="N47" s="17" t="n">
        <f aca="false">N32+Assumptions!$C$53</f>
        <v>0.129</v>
      </c>
      <c r="O47" s="17" t="n">
        <f aca="false">O32+Assumptions!$C$53</f>
        <v>0.129</v>
      </c>
      <c r="P47" s="17" t="n">
        <f aca="false">P32+Assumptions!$C$53</f>
        <v>0.129</v>
      </c>
      <c r="Q47" s="17" t="n">
        <f aca="false">Q32+Assumptions!$C$53</f>
        <v>0.129</v>
      </c>
      <c r="R47" s="17" t="n">
        <f aca="false">R32+Assumptions!$C$53</f>
        <v>0.129</v>
      </c>
      <c r="S47" s="17" t="n">
        <f aca="false">S32+Assumptions!$C$53</f>
        <v>0.129</v>
      </c>
      <c r="T47" s="17" t="n">
        <f aca="false">T32+Assumptions!$C$53</f>
        <v>0.129</v>
      </c>
      <c r="U47" s="17" t="n">
        <f aca="false">U32+Assumptions!$C$53</f>
        <v>0.129</v>
      </c>
    </row>
    <row r="48" customFormat="false" ht="15" hidden="false" customHeight="false" outlineLevel="0" collapsed="false">
      <c r="B48" s="9" t="s">
        <v>218</v>
      </c>
      <c r="J48" s="17" t="n">
        <f aca="false">J47*(1-J46)*(1+Assumptions!$C$54)-Assumptions!$C$55*Assumptions!$C$54-Assumptions!$C$56*(1+Assumptions!$C$54)-Assumptions!$C$57</f>
        <v>0.161691</v>
      </c>
      <c r="K48" s="17" t="n">
        <f aca="false">K47*(1-K46)*(1+Assumptions!$C$54)-Assumptions!$C$55*Assumptions!$C$54-Assumptions!$C$56*(1+Assumptions!$C$54)-Assumptions!$C$57</f>
        <v>0.161691</v>
      </c>
      <c r="L48" s="17" t="n">
        <f aca="false">L47*(1-L46)*(1+Assumptions!$C$54)-Assumptions!$C$55*Assumptions!$C$54-Assumptions!$C$56*(1+Assumptions!$C$54)-Assumptions!$C$57</f>
        <v>0.161691</v>
      </c>
      <c r="M48" s="17" t="n">
        <f aca="false">M47*(1-M46)*(1+Assumptions!$C$54)-Assumptions!$C$55*Assumptions!$C$54-Assumptions!$C$56*(1+Assumptions!$C$54)-Assumptions!$C$57</f>
        <v>0.161691</v>
      </c>
      <c r="N48" s="17" t="n">
        <f aca="false">N47*(1-N46)*(1+Assumptions!$C$54)-Assumptions!$C$55*Assumptions!$C$54-Assumptions!$C$56*(1+Assumptions!$C$54)-Assumptions!$C$57</f>
        <v>0.1611492</v>
      </c>
      <c r="O48" s="17" t="n">
        <f aca="false">O47*(1-O46)*(1+Assumptions!$C$54)-Assumptions!$C$55*Assumptions!$C$54-Assumptions!$C$56*(1+Assumptions!$C$54)-Assumptions!$C$57</f>
        <v>0.1611492</v>
      </c>
      <c r="P48" s="17" t="n">
        <f aca="false">P47*(1-P46)*(1+Assumptions!$C$54)-Assumptions!$C$55*Assumptions!$C$54-Assumptions!$C$56*(1+Assumptions!$C$54)-Assumptions!$C$57</f>
        <v>0.1611492</v>
      </c>
      <c r="Q48" s="17" t="n">
        <f aca="false">Q47*(1-Q46)*(1+Assumptions!$C$54)-Assumptions!$C$55*Assumptions!$C$54-Assumptions!$C$56*(1+Assumptions!$C$54)-Assumptions!$C$57</f>
        <v>0.1611492</v>
      </c>
      <c r="R48" s="17" t="n">
        <f aca="false">R47*(1-R46)*(1+Assumptions!$C$54)-Assumptions!$C$55*Assumptions!$C$54-Assumptions!$C$56*(1+Assumptions!$C$54)-Assumptions!$C$57</f>
        <v>0.1611492</v>
      </c>
      <c r="S48" s="17" t="n">
        <f aca="false">S47*(1-S46)*(1+Assumptions!$C$54)-Assumptions!$C$55*Assumptions!$C$54-Assumptions!$C$56*(1+Assumptions!$C$54)-Assumptions!$C$57</f>
        <v>0.1611492</v>
      </c>
      <c r="T48" s="17" t="n">
        <f aca="false">T47*(1-T46)*(1+Assumptions!$C$54)-Assumptions!$C$55*Assumptions!$C$54-Assumptions!$C$56*(1+Assumptions!$C$54)-Assumptions!$C$57</f>
        <v>0.1611492</v>
      </c>
      <c r="U48" s="17" t="n">
        <f aca="false">U47*(1-U46)*(1+Assumptions!$C$54)-Assumptions!$C$55*Assumptions!$C$54-Assumptions!$C$56*(1+Assumptions!$C$54)-Assumptions!$C$57</f>
        <v>0.1611492</v>
      </c>
    </row>
    <row r="49" customFormat="false" ht="15" hidden="false" customHeight="false" outlineLevel="0" collapsed="false">
      <c r="B49" s="9" t="s">
        <v>219</v>
      </c>
      <c r="J49" s="17" t="n">
        <f aca="false">J48*(1-Assumptions!$C$58)</f>
        <v>0.133395075</v>
      </c>
      <c r="K49" s="17" t="n">
        <f aca="false">K48*(1-Assumptions!$C$58)</f>
        <v>0.133395075</v>
      </c>
      <c r="L49" s="17" t="n">
        <f aca="false">L48*(1-Assumptions!$C$58)</f>
        <v>0.133395075</v>
      </c>
      <c r="M49" s="17" t="n">
        <f aca="false">M48*(1-Assumptions!$C$58)</f>
        <v>0.133395075</v>
      </c>
      <c r="N49" s="17" t="n">
        <f aca="false">N48*(1-Assumptions!$C$58)</f>
        <v>0.13294809</v>
      </c>
      <c r="O49" s="17" t="n">
        <f aca="false">O48*(1-Assumptions!$C$58)</f>
        <v>0.13294809</v>
      </c>
      <c r="P49" s="17" t="n">
        <f aca="false">P48*(1-Assumptions!$C$58)</f>
        <v>0.13294809</v>
      </c>
      <c r="Q49" s="17" t="n">
        <f aca="false">Q48*(1-Assumptions!$C$58)</f>
        <v>0.13294809</v>
      </c>
      <c r="R49" s="17" t="n">
        <f aca="false">R48*(1-Assumptions!$C$58)</f>
        <v>0.13294809</v>
      </c>
      <c r="S49" s="17" t="n">
        <f aca="false">S48*(1-Assumptions!$C$58)</f>
        <v>0.13294809</v>
      </c>
      <c r="T49" s="17" t="n">
        <f aca="false">T48*(1-Assumptions!$C$58)</f>
        <v>0.13294809</v>
      </c>
      <c r="U49" s="17" t="n">
        <f aca="false">U48*(1-Assumptions!$C$58)</f>
        <v>0.13294809</v>
      </c>
    </row>
    <row r="50" customFormat="false" ht="15" hidden="false" customHeight="false" outlineLevel="0" collapsed="false">
      <c r="B50" s="9" t="s">
        <v>220</v>
      </c>
      <c r="J50" s="36" t="n">
        <f aca="false">I53*J49/4</f>
        <v>0.666975375</v>
      </c>
      <c r="K50" s="36" t="n">
        <f aca="false">J53*K49/4</f>
        <v>0.672210310480319</v>
      </c>
      <c r="L50" s="36" t="n">
        <f aca="false">K53*L49/4</f>
        <v>0.677611972210173</v>
      </c>
      <c r="M50" s="36" t="n">
        <f aca="false">L53*M49/4</f>
        <v>0.683185670215326</v>
      </c>
      <c r="N50" s="36" t="n">
        <f aca="false">M53*N49/4</f>
        <v>0.686628369228781</v>
      </c>
      <c r="O50" s="36" t="n">
        <f aca="false">N53*O49/4</f>
        <v>0.692466138432133</v>
      </c>
      <c r="P50" s="36" t="n">
        <f aca="false">O53*P49/4</f>
        <v>0.698489181048042</v>
      </c>
      <c r="Q50" s="36" t="n">
        <f aca="false">P53*Q49/4</f>
        <v>0.70470337710297</v>
      </c>
      <c r="R50" s="36" t="n">
        <f aca="false">Q53*R49/4</f>
        <v>0.711114793237913</v>
      </c>
      <c r="S50" s="36" t="n">
        <f aca="false">R53*S49/4</f>
        <v>0.717729688630987</v>
      </c>
      <c r="T50" s="36" t="n">
        <f aca="false">S53*T49/4</f>
        <v>0.724554521107987</v>
      </c>
      <c r="U50" s="36" t="n">
        <f aca="false">T53*U49/4</f>
        <v>0.731595953446868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20.156975375</v>
      </c>
      <c r="K53" s="36" t="n">
        <f aca="false">J53+K50-K51-J53*K52/4</f>
        <v>20.3189502224178</v>
      </c>
      <c r="L53" s="36" t="n">
        <f aca="false">K53+L50-L51-K53*L52/4</f>
        <v>20.4860837692944</v>
      </c>
      <c r="M53" s="36" t="n">
        <f aca="false">L53+M50-M51-L53*M52/4</f>
        <v>20.6585403138558</v>
      </c>
      <c r="N53" s="36" t="n">
        <f aca="false">M53+N50-N51-M53*N52/4</f>
        <v>20.8341808726137</v>
      </c>
      <c r="O53" s="36" t="n">
        <f aca="false">N53+O50-O51-N53*O52/4</f>
        <v>21.015395739737</v>
      </c>
      <c r="P53" s="36" t="n">
        <f aca="false">O53+P50-P51-O53*P52/4</f>
        <v>21.2023618271754</v>
      </c>
      <c r="Q53" s="36" t="n">
        <f aca="false">P53+Q50-Q51-P53*Q52/4</f>
        <v>21.3952616615376</v>
      </c>
      <c r="R53" s="36" t="n">
        <f aca="false">Q53+R50-R51-Q53*R52/4</f>
        <v>21.5942835622832</v>
      </c>
      <c r="S53" s="36" t="n">
        <f aca="false">R53+S50-S51-R53*S52/4</f>
        <v>21.7996218255708</v>
      </c>
      <c r="T53" s="36" t="n">
        <f aca="false">S53+T50-T51-S53*T52/4</f>
        <v>22.0114769139404</v>
      </c>
      <c r="U53" s="36" t="n">
        <f aca="false">T53+U50-U51-T53*U52/4</f>
        <v>22.2300556520163</v>
      </c>
    </row>
    <row r="54" customFormat="false" ht="15" hidden="false" customHeight="false" outlineLevel="0" collapsed="false">
      <c r="B54" s="9" t="s">
        <v>224</v>
      </c>
      <c r="J54" s="22" t="n">
        <f aca="false">J50/J51</f>
        <v>1.38953203125</v>
      </c>
      <c r="K54" s="22" t="n">
        <f aca="false">K50/K51</f>
        <v>1.400438146834</v>
      </c>
      <c r="L54" s="22" t="n">
        <f aca="false">L50/L51</f>
        <v>1.41169160877119</v>
      </c>
      <c r="M54" s="22" t="n">
        <f aca="false">M50/M51</f>
        <v>1.42330347961526</v>
      </c>
      <c r="N54" s="22" t="n">
        <f aca="false">N50/N51</f>
        <v>1.43047576922663</v>
      </c>
      <c r="O54" s="22" t="n">
        <f aca="false">O50/O51</f>
        <v>1.44263778840028</v>
      </c>
      <c r="P54" s="22" t="n">
        <f aca="false">P50/P51</f>
        <v>1.45518579385009</v>
      </c>
      <c r="Q54" s="22" t="n">
        <f aca="false">Q50/Q51</f>
        <v>1.46813203563119</v>
      </c>
      <c r="R54" s="22" t="n">
        <f aca="false">R50/R51</f>
        <v>1.48148915257898</v>
      </c>
      <c r="S54" s="22" t="n">
        <f aca="false">S50/S51</f>
        <v>1.49527018464789</v>
      </c>
      <c r="T54" s="22" t="n">
        <f aca="false">T50/T51</f>
        <v>1.50948858564164</v>
      </c>
      <c r="U54" s="22" t="n">
        <f aca="false">U50/U51</f>
        <v>1.52415823634764</v>
      </c>
    </row>
    <row r="55" customFormat="false" ht="15" hidden="false" customHeight="false" outlineLevel="0" collapsed="false">
      <c r="B55" s="9" t="s">
        <v>225</v>
      </c>
      <c r="C55" s="36" t="n">
        <f aca="false">U53*(1+$E$23)</f>
        <v>21.1185528694155</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0.12</v>
      </c>
      <c r="K61" s="17" t="n">
        <f aca="false">K32+Assumptions!$D$53</f>
        <v>0.12</v>
      </c>
      <c r="L61" s="17" t="n">
        <f aca="false">L32+Assumptions!$D$53</f>
        <v>0.12</v>
      </c>
      <c r="M61" s="17" t="n">
        <f aca="false">M32+Assumptions!$D$53</f>
        <v>0.12</v>
      </c>
      <c r="N61" s="17" t="n">
        <f aca="false">N32+Assumptions!$D$53</f>
        <v>0.12</v>
      </c>
      <c r="O61" s="17" t="n">
        <f aca="false">O32+Assumptions!$D$53</f>
        <v>0.12</v>
      </c>
      <c r="P61" s="17" t="n">
        <f aca="false">P32+Assumptions!$D$53</f>
        <v>0.12</v>
      </c>
      <c r="Q61" s="17" t="n">
        <f aca="false">Q32+Assumptions!$D$53</f>
        <v>0.12</v>
      </c>
      <c r="R61" s="17" t="n">
        <f aca="false">R32+Assumptions!$D$53</f>
        <v>0.12</v>
      </c>
      <c r="S61" s="17" t="n">
        <f aca="false">S32+Assumptions!$D$53</f>
        <v>0.12</v>
      </c>
      <c r="T61" s="17" t="n">
        <f aca="false">T32+Assumptions!$D$53</f>
        <v>0.12</v>
      </c>
      <c r="U61" s="17" t="n">
        <f aca="false">U32+Assumptions!$D$53</f>
        <v>0.12</v>
      </c>
    </row>
    <row r="62" customFormat="false" ht="15" hidden="false" customHeight="false" outlineLevel="0" collapsed="false">
      <c r="B62" s="9" t="s">
        <v>218</v>
      </c>
      <c r="J62" s="17" t="n">
        <f aca="false">J61*(1-J60)*(1+Assumptions!$D$54)-Assumptions!$D$55*Assumptions!$D$54-Assumptions!$D$56*(1+Assumptions!$D$54)-Assumptions!$D$57</f>
        <v>0.16008</v>
      </c>
      <c r="K62" s="17" t="n">
        <f aca="false">K61*(1-K60)*(1+Assumptions!$D$54)-Assumptions!$D$55*Assumptions!$D$54-Assumptions!$D$56*(1+Assumptions!$D$54)-Assumptions!$D$57</f>
        <v>0.16008</v>
      </c>
      <c r="L62" s="17" t="n">
        <f aca="false">L61*(1-L60)*(1+Assumptions!$D$54)-Assumptions!$D$55*Assumptions!$D$54-Assumptions!$D$56*(1+Assumptions!$D$54)-Assumptions!$D$57</f>
        <v>0.16008</v>
      </c>
      <c r="M62" s="17" t="n">
        <f aca="false">M61*(1-M60)*(1+Assumptions!$D$54)-Assumptions!$D$55*Assumptions!$D$54-Assumptions!$D$56*(1+Assumptions!$D$54)-Assumptions!$D$57</f>
        <v>0.16008</v>
      </c>
      <c r="N62" s="17" t="n">
        <f aca="false">N61*(1-N60)*(1+Assumptions!$D$54)-Assumptions!$D$55*Assumptions!$D$54-Assumptions!$D$56*(1+Assumptions!$D$54)-Assumptions!$D$57</f>
        <v>0.16008</v>
      </c>
      <c r="O62" s="17" t="n">
        <f aca="false">O61*(1-O60)*(1+Assumptions!$D$54)-Assumptions!$D$55*Assumptions!$D$54-Assumptions!$D$56*(1+Assumptions!$D$54)-Assumptions!$D$57</f>
        <v>0.16008</v>
      </c>
      <c r="P62" s="17" t="n">
        <f aca="false">P61*(1-P60)*(1+Assumptions!$D$54)-Assumptions!$D$55*Assumptions!$D$54-Assumptions!$D$56*(1+Assumptions!$D$54)-Assumptions!$D$57</f>
        <v>0.16008</v>
      </c>
      <c r="Q62" s="17" t="n">
        <f aca="false">Q61*(1-Q60)*(1+Assumptions!$D$54)-Assumptions!$D$55*Assumptions!$D$54-Assumptions!$D$56*(1+Assumptions!$D$54)-Assumptions!$D$57</f>
        <v>0.16008</v>
      </c>
      <c r="R62" s="17" t="n">
        <f aca="false">R61*(1-R60)*(1+Assumptions!$D$54)-Assumptions!$D$55*Assumptions!$D$54-Assumptions!$D$56*(1+Assumptions!$D$54)-Assumptions!$D$57</f>
        <v>0.1596</v>
      </c>
      <c r="S62" s="17" t="n">
        <f aca="false">S61*(1-S60)*(1+Assumptions!$D$54)-Assumptions!$D$55*Assumptions!$D$54-Assumptions!$D$56*(1+Assumptions!$D$54)-Assumptions!$D$57</f>
        <v>0.1596</v>
      </c>
      <c r="T62" s="17" t="n">
        <f aca="false">T61*(1-T60)*(1+Assumptions!$D$54)-Assumptions!$D$55*Assumptions!$D$54-Assumptions!$D$56*(1+Assumptions!$D$54)-Assumptions!$D$57</f>
        <v>0.1596</v>
      </c>
      <c r="U62" s="17" t="n">
        <f aca="false">U61*(1-U60)*(1+Assumptions!$D$54)-Assumptions!$D$55*Assumptions!$D$54-Assumptions!$D$56*(1+Assumptions!$D$54)-Assumptions!$D$57</f>
        <v>0.1596</v>
      </c>
    </row>
    <row r="63" customFormat="false" ht="15" hidden="false" customHeight="false" outlineLevel="0" collapsed="false">
      <c r="B63" s="9" t="s">
        <v>219</v>
      </c>
      <c r="J63" s="17" t="n">
        <f aca="false">J62*(1-Assumptions!$D$58)</f>
        <v>0.16008</v>
      </c>
      <c r="K63" s="17" t="n">
        <f aca="false">K62*(1-Assumptions!$D$58)</f>
        <v>0.16008</v>
      </c>
      <c r="L63" s="17" t="n">
        <f aca="false">L62*(1-Assumptions!$D$58)</f>
        <v>0.16008</v>
      </c>
      <c r="M63" s="17" t="n">
        <f aca="false">M62*(1-Assumptions!$D$58)</f>
        <v>0.16008</v>
      </c>
      <c r="N63" s="17" t="n">
        <f aca="false">N62*(1-Assumptions!$D$58)</f>
        <v>0.16008</v>
      </c>
      <c r="O63" s="17" t="n">
        <f aca="false">O62*(1-Assumptions!$D$58)</f>
        <v>0.16008</v>
      </c>
      <c r="P63" s="17" t="n">
        <f aca="false">P62*(1-Assumptions!$D$58)</f>
        <v>0.16008</v>
      </c>
      <c r="Q63" s="17" t="n">
        <f aca="false">Q62*(1-Assumptions!$D$58)</f>
        <v>0.16008</v>
      </c>
      <c r="R63" s="17" t="n">
        <f aca="false">R62*(1-Assumptions!$D$58)</f>
        <v>0.1596</v>
      </c>
      <c r="S63" s="17" t="n">
        <f aca="false">S62*(1-Assumptions!$D$58)</f>
        <v>0.1596</v>
      </c>
      <c r="T63" s="17" t="n">
        <f aca="false">T62*(1-Assumptions!$D$58)</f>
        <v>0.1596</v>
      </c>
      <c r="U63" s="17" t="n">
        <f aca="false">U62*(1-Assumptions!$D$58)</f>
        <v>0.1596</v>
      </c>
    </row>
    <row r="64" customFormat="false" ht="15" hidden="false" customHeight="false" outlineLevel="0" collapsed="false">
      <c r="B64" s="9" t="s">
        <v>220</v>
      </c>
      <c r="J64" s="36" t="n">
        <f aca="false">I67*J63/4</f>
        <v>0.56028</v>
      </c>
      <c r="K64" s="36" t="n">
        <f aca="false">J67*K63/4</f>
        <v>0.5659940556</v>
      </c>
      <c r="L64" s="36" t="n">
        <f aca="false">K67*L63/4</f>
        <v>0.571929645135612</v>
      </c>
      <c r="M64" s="36" t="n">
        <f aca="false">L67*M63/4</f>
        <v>0.57809535747752</v>
      </c>
      <c r="N64" s="36" t="n">
        <f aca="false">M67*N63/4</f>
        <v>0.584500114486923</v>
      </c>
      <c r="O64" s="36" t="n">
        <f aca="false">N67*O63/4</f>
        <v>0.591153183925581</v>
      </c>
      <c r="P64" s="36" t="n">
        <f aca="false">O67*P63/4</f>
        <v>0.598064192866376</v>
      </c>
      <c r="Q64" s="36" t="n">
        <f aca="false">P67*Q63/4</f>
        <v>0.605243141623805</v>
      </c>
      <c r="R64" s="36" t="n">
        <f aca="false">Q67*R63/4</f>
        <v>0.610863235561218</v>
      </c>
      <c r="S64" s="36" t="n">
        <f aca="false">R67*S63/4</f>
        <v>0.618513099615659</v>
      </c>
      <c r="T64" s="36" t="n">
        <f aca="false">S67*T63/4</f>
        <v>0.626458630915804</v>
      </c>
      <c r="U64" s="36" t="n">
        <f aca="false">T67*U63/4</f>
        <v>0.6347112570007</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14.14278</v>
      </c>
      <c r="K67" s="36" t="n">
        <f aca="false">J67+K64-K65-J67*K66/4</f>
        <v>14.2910955806</v>
      </c>
      <c r="L67" s="36" t="n">
        <f aca="false">K67+L64-L65-K67*L66/4</f>
        <v>14.4451613562599</v>
      </c>
      <c r="M67" s="36" t="n">
        <f aca="false">L67+M64-M65-L67*M66/4</f>
        <v>14.6052002620421</v>
      </c>
      <c r="N67" s="36" t="n">
        <f aca="false">M67+N64-N65-M67*N66/4</f>
        <v>14.7714438762014</v>
      </c>
      <c r="O67" s="36" t="n">
        <f aca="false">N67+O64-O65-N67*O66/4</f>
        <v>14.9441327552818</v>
      </c>
      <c r="P67" s="36" t="n">
        <f aca="false">O67+P64-P65-O67*P66/4</f>
        <v>15.123516782204</v>
      </c>
      <c r="Q67" s="36" t="n">
        <f aca="false">P67+Q64-Q65-P67*Q66/4</f>
        <v>15.3098555278501</v>
      </c>
      <c r="R67" s="36" t="n">
        <f aca="false">Q67+R64-R65-Q67*R66/4</f>
        <v>15.5015814440015</v>
      </c>
      <c r="S67" s="36" t="n">
        <f aca="false">R67+S64-S65-R67*S66/4</f>
        <v>15.7007175668121</v>
      </c>
      <c r="T67" s="36" t="n">
        <f aca="false">S67+T64-T65-S67*T66/4</f>
        <v>15.9075503007694</v>
      </c>
      <c r="U67" s="36" t="n">
        <f aca="false">T67+U64-U65-T67*U66/4</f>
        <v>16.1223771198942</v>
      </c>
    </row>
    <row r="68" customFormat="false" ht="15" hidden="false" customHeight="false" outlineLevel="0" collapsed="false">
      <c r="B68" s="9" t="s">
        <v>224</v>
      </c>
      <c r="J68" s="22" t="n">
        <f aca="false">J64/J65</f>
        <v>1.4007</v>
      </c>
      <c r="K68" s="22" t="n">
        <f aca="false">K64/K65</f>
        <v>1.414985139</v>
      </c>
      <c r="L68" s="22" t="n">
        <f aca="false">L64/L65</f>
        <v>1.42982411283903</v>
      </c>
      <c r="M68" s="22" t="n">
        <f aca="false">M64/M65</f>
        <v>1.4452383936938</v>
      </c>
      <c r="N68" s="22" t="n">
        <f aca="false">N64/N65</f>
        <v>1.46125028621731</v>
      </c>
      <c r="O68" s="22" t="n">
        <f aca="false">O64/O65</f>
        <v>1.47788295981395</v>
      </c>
      <c r="P68" s="22" t="n">
        <f aca="false">P64/P65</f>
        <v>1.49516048216594</v>
      </c>
      <c r="Q68" s="22" t="n">
        <f aca="false">Q64/Q65</f>
        <v>1.51310785405951</v>
      </c>
      <c r="R68" s="22" t="n">
        <f aca="false">R64/R65</f>
        <v>1.52715808890305</v>
      </c>
      <c r="S68" s="22" t="n">
        <f aca="false">S64/S65</f>
        <v>1.54628274903915</v>
      </c>
      <c r="T68" s="22" t="n">
        <f aca="false">T64/T65</f>
        <v>1.56614657728951</v>
      </c>
      <c r="U68" s="22" t="n">
        <f aca="false">U64/U65</f>
        <v>1.58677814250175</v>
      </c>
    </row>
    <row r="69" customFormat="false" ht="15" hidden="false" customHeight="false" outlineLevel="0" collapsed="false">
      <c r="B69" s="9" t="s">
        <v>225</v>
      </c>
      <c r="C69" s="36" t="n">
        <f aca="false">U67*(1+$E$24)</f>
        <v>16.1223771198942</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0.143</v>
      </c>
      <c r="K75" s="17" t="n">
        <f aca="false">K32+Assumptions!$E$53</f>
        <v>0.143</v>
      </c>
      <c r="L75" s="17" t="n">
        <f aca="false">L32+Assumptions!$E$53</f>
        <v>0.143</v>
      </c>
      <c r="M75" s="17" t="n">
        <f aca="false">M32+Assumptions!$E$53</f>
        <v>0.143</v>
      </c>
      <c r="N75" s="17" t="n">
        <f aca="false">N32+Assumptions!$E$53</f>
        <v>0.143</v>
      </c>
      <c r="O75" s="17" t="n">
        <f aca="false">O32+Assumptions!$E$53</f>
        <v>0.143</v>
      </c>
      <c r="P75" s="17" t="n">
        <f aca="false">P32+Assumptions!$E$53</f>
        <v>0.143</v>
      </c>
      <c r="Q75" s="17" t="n">
        <f aca="false">Q32+Assumptions!$E$53</f>
        <v>0.143</v>
      </c>
      <c r="R75" s="17" t="n">
        <f aca="false">R32+Assumptions!$E$53</f>
        <v>0.143</v>
      </c>
      <c r="S75" s="17" t="n">
        <f aca="false">S32+Assumptions!$E$53</f>
        <v>0.143</v>
      </c>
      <c r="T75" s="17" t="n">
        <f aca="false">T32+Assumptions!$E$53</f>
        <v>0.143</v>
      </c>
      <c r="U75" s="17" t="n">
        <f aca="false">U32+Assumptions!$E$53</f>
        <v>0.143</v>
      </c>
    </row>
    <row r="76" customFormat="false" ht="15" hidden="false" customHeight="false" outlineLevel="0" collapsed="false">
      <c r="B76" s="9" t="s">
        <v>218</v>
      </c>
      <c r="J76" s="17" t="n">
        <f aca="false">J75*(1-J74)*(1+Assumptions!$E$54)-Assumptions!$E$55*Assumptions!$E$54-Assumptions!$E$56*(1+Assumptions!$E$54)-Assumptions!$E$57</f>
        <v>0.178683</v>
      </c>
      <c r="K76" s="17" t="n">
        <f aca="false">K75*(1-K74)*(1+Assumptions!$E$54)-Assumptions!$E$55*Assumptions!$E$54-Assumptions!$E$56*(1+Assumptions!$E$54)-Assumptions!$E$57</f>
        <v>0.178683</v>
      </c>
      <c r="L76" s="17" t="n">
        <f aca="false">L75*(1-L74)*(1+Assumptions!$E$54)-Assumptions!$E$55*Assumptions!$E$54-Assumptions!$E$56*(1+Assumptions!$E$54)-Assumptions!$E$57</f>
        <v>0.178683</v>
      </c>
      <c r="M76" s="17" t="n">
        <f aca="false">M75*(1-M74)*(1+Assumptions!$E$54)-Assumptions!$E$55*Assumptions!$E$54-Assumptions!$E$56*(1+Assumptions!$E$54)-Assumptions!$E$57</f>
        <v>0.178683</v>
      </c>
      <c r="N76" s="17" t="n">
        <f aca="false">N75*(1-N74)*(1+Assumptions!$E$54)-Assumptions!$E$55*Assumptions!$E$54-Assumptions!$E$56*(1+Assumptions!$E$54)-Assumptions!$E$57</f>
        <v>0.1686015</v>
      </c>
      <c r="O76" s="17" t="n">
        <f aca="false">O75*(1-O74)*(1+Assumptions!$E$54)-Assumptions!$E$55*Assumptions!$E$54-Assumptions!$E$56*(1+Assumptions!$E$54)-Assumptions!$E$57</f>
        <v>0.1686015</v>
      </c>
      <c r="P76" s="17" t="n">
        <f aca="false">P75*(1-P74)*(1+Assumptions!$E$54)-Assumptions!$E$55*Assumptions!$E$54-Assumptions!$E$56*(1+Assumptions!$E$54)-Assumptions!$E$57</f>
        <v>0.1686015</v>
      </c>
      <c r="Q76" s="17" t="n">
        <f aca="false">Q75*(1-Q74)*(1+Assumptions!$E$54)-Assumptions!$E$55*Assumptions!$E$54-Assumptions!$E$56*(1+Assumptions!$E$54)-Assumptions!$E$57</f>
        <v>0.1686015</v>
      </c>
      <c r="R76" s="17" t="n">
        <f aca="false">R75*(1-R74)*(1+Assumptions!$E$54)-Assumptions!$E$55*Assumptions!$E$54-Assumptions!$E$56*(1+Assumptions!$E$54)-Assumptions!$E$57</f>
        <v>0.1618805</v>
      </c>
      <c r="S76" s="17" t="n">
        <f aca="false">S75*(1-S74)*(1+Assumptions!$E$54)-Assumptions!$E$55*Assumptions!$E$54-Assumptions!$E$56*(1+Assumptions!$E$54)-Assumptions!$E$57</f>
        <v>0.1618805</v>
      </c>
      <c r="T76" s="17" t="n">
        <f aca="false">T75*(1-T74)*(1+Assumptions!$E$54)-Assumptions!$E$55*Assumptions!$E$54-Assumptions!$E$56*(1+Assumptions!$E$54)-Assumptions!$E$57</f>
        <v>0.1618805</v>
      </c>
      <c r="U76" s="17" t="n">
        <f aca="false">U75*(1-U74)*(1+Assumptions!$E$54)-Assumptions!$E$55*Assumptions!$E$54-Assumptions!$E$56*(1+Assumptions!$E$54)-Assumptions!$E$57</f>
        <v>0.1618805</v>
      </c>
    </row>
    <row r="77" customFormat="false" ht="15" hidden="false" customHeight="false" outlineLevel="0" collapsed="false">
      <c r="B77" s="9" t="s">
        <v>219</v>
      </c>
      <c r="J77" s="17" t="n">
        <f aca="false">J76*(1-Assumptions!$E$58)</f>
        <v>0.1429464</v>
      </c>
      <c r="K77" s="17" t="n">
        <f aca="false">K76*(1-Assumptions!$E$58)</f>
        <v>0.1429464</v>
      </c>
      <c r="L77" s="17" t="n">
        <f aca="false">L76*(1-Assumptions!$E$58)</f>
        <v>0.1429464</v>
      </c>
      <c r="M77" s="17" t="n">
        <f aca="false">M76*(1-Assumptions!$E$58)</f>
        <v>0.1429464</v>
      </c>
      <c r="N77" s="17" t="n">
        <f aca="false">N76*(1-Assumptions!$E$58)</f>
        <v>0.1348812</v>
      </c>
      <c r="O77" s="17" t="n">
        <f aca="false">O76*(1-Assumptions!$E$58)</f>
        <v>0.1348812</v>
      </c>
      <c r="P77" s="17" t="n">
        <f aca="false">P76*(1-Assumptions!$E$58)</f>
        <v>0.1348812</v>
      </c>
      <c r="Q77" s="17" t="n">
        <f aca="false">Q76*(1-Assumptions!$E$58)</f>
        <v>0.1348812</v>
      </c>
      <c r="R77" s="17" t="n">
        <f aca="false">R76*(1-Assumptions!$E$58)</f>
        <v>0.1295044</v>
      </c>
      <c r="S77" s="17" t="n">
        <f aca="false">S76*(1-Assumptions!$E$58)</f>
        <v>0.1295044</v>
      </c>
      <c r="T77" s="17" t="n">
        <f aca="false">T76*(1-Assumptions!$E$58)</f>
        <v>0.1295044</v>
      </c>
      <c r="U77" s="17" t="n">
        <f aca="false">U76*(1-Assumptions!$E$58)</f>
        <v>0.1295044</v>
      </c>
    </row>
    <row r="78" customFormat="false" ht="15" hidden="false" customHeight="false" outlineLevel="0" collapsed="false">
      <c r="B78" s="9" t="s">
        <v>220</v>
      </c>
      <c r="J78" s="36" t="n">
        <f aca="false">I81*J77/4</f>
        <v>0.40203675</v>
      </c>
      <c r="K78" s="36" t="n">
        <f aca="false">J81*K77/4</f>
        <v>0.40109327695755</v>
      </c>
      <c r="L78" s="36" t="n">
        <f aca="false">K81*L77/4</f>
        <v>0.400124342785493</v>
      </c>
      <c r="M78" s="36" t="n">
        <f aca="false">L81*M77/4</f>
        <v>0.399129260374508</v>
      </c>
      <c r="N78" s="36" t="n">
        <f aca="false">M81*N77/4</f>
        <v>0.375645651794601</v>
      </c>
      <c r="O78" s="36" t="n">
        <f aca="false">N81*O77/4</f>
        <v>0.373897937413608</v>
      </c>
      <c r="P78" s="36" t="n">
        <f aca="false">O81*P77/4</f>
        <v>0.374804206080207</v>
      </c>
      <c r="Q78" s="36" t="n">
        <f aca="false">P81*Q77/4</f>
        <v>0.375733104547291</v>
      </c>
      <c r="R78" s="36" t="n">
        <f aca="false">Q81*R77/4</f>
        <v>0.361669310039774</v>
      </c>
      <c r="S78" s="36" t="n">
        <f aca="false">R81*S77/4</f>
        <v>0.362120120325705</v>
      </c>
      <c r="T78" s="36" t="n">
        <f aca="false">S81*T77/4</f>
        <v>0.362581581500532</v>
      </c>
      <c r="U78" s="36" t="n">
        <f aca="false">T81*U77/4</f>
        <v>0.363053945203222</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11.22359925</v>
      </c>
      <c r="K81" s="36" t="n">
        <f aca="false">J81+K78-K79-J81*K80/4</f>
        <v>11.1964860335201</v>
      </c>
      <c r="L81" s="36" t="n">
        <f aca="false">K81+L78-L79-K81*L80/4</f>
        <v>11.1686411235122</v>
      </c>
      <c r="M81" s="36" t="n">
        <f aca="false">L81+M78-M79-L81*M80/4</f>
        <v>11.140044774056</v>
      </c>
      <c r="N81" s="36" t="n">
        <f aca="false">M81+N78-N79-M81*N80/4</f>
        <v>11.0882150340776</v>
      </c>
      <c r="O81" s="36" t="n">
        <f aca="false">N81+O78-O79-N81*O80/4</f>
        <v>11.1150910899431</v>
      </c>
      <c r="P81" s="36" t="n">
        <f aca="false">O81+P78-P79-O81*P80/4</f>
        <v>11.1426382489863</v>
      </c>
      <c r="Q81" s="36" t="n">
        <f aca="false">P81+Q78-Q79-P81*Q80/4</f>
        <v>11.1708732688549</v>
      </c>
      <c r="R81" s="36" t="n">
        <f aca="false">Q81+R78-R79-Q81*R80/4</f>
        <v>11.1847974377922</v>
      </c>
      <c r="S81" s="36" t="n">
        <f aca="false">R81+S78-S79-R81*S80/4</f>
        <v>11.1990505805372</v>
      </c>
      <c r="T81" s="36" t="n">
        <f aca="false">S81+T78-T79-S81*T80/4</f>
        <v>11.2136404694581</v>
      </c>
      <c r="U81" s="36" t="n">
        <f aca="false">T81+U78-U79-T81*U80/4</f>
        <v>11.2285750605535</v>
      </c>
    </row>
    <row r="82" customFormat="false" ht="15" hidden="false" customHeight="false" outlineLevel="0" collapsed="false">
      <c r="B82" s="9" t="s">
        <v>224</v>
      </c>
      <c r="J82" s="22" t="n">
        <f aca="false">J78/J79</f>
        <v>1.21829318181818</v>
      </c>
      <c r="K82" s="22" t="n">
        <f aca="false">K78/K79</f>
        <v>1.21543417259864</v>
      </c>
      <c r="L82" s="22" t="n">
        <f aca="false">L78/L79</f>
        <v>1.21249800844089</v>
      </c>
      <c r="M82" s="22" t="n">
        <f aca="false">M78/M79</f>
        <v>1.20948260719548</v>
      </c>
      <c r="N82" s="22" t="n">
        <f aca="false">N78/N79</f>
        <v>1.13832015695334</v>
      </c>
      <c r="O82" s="22" t="n">
        <f aca="false">O78/O79</f>
        <v>1.49559174965443</v>
      </c>
      <c r="P82" s="22" t="n">
        <f aca="false">P78/P79</f>
        <v>1.49921682432083</v>
      </c>
      <c r="Q82" s="22" t="n">
        <f aca="false">Q78/Q79</f>
        <v>1.50293241818917</v>
      </c>
      <c r="R82" s="22" t="n">
        <f aca="false">R78/R79</f>
        <v>1.4466772401591</v>
      </c>
      <c r="S82" s="22" t="n">
        <f aca="false">S78/S79</f>
        <v>1.44848048130282</v>
      </c>
      <c r="T82" s="22" t="n">
        <f aca="false">T78/T79</f>
        <v>1.45032632600213</v>
      </c>
      <c r="U82" s="22" t="n">
        <f aca="false">U78/U79</f>
        <v>1.45221578081289</v>
      </c>
    </row>
    <row r="83" customFormat="false" ht="15" hidden="false" customHeight="false" outlineLevel="0" collapsed="false">
      <c r="B83" s="9" t="s">
        <v>225</v>
      </c>
      <c r="C83" s="36" t="n">
        <f aca="false">U81*(1+$E$25)</f>
        <v>8.42143129541515</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0.1225</v>
      </c>
      <c r="K87" s="17" t="n">
        <f aca="false">K32+Assumptions!$C$72+Assumptions!$C$73</f>
        <v>0.1225</v>
      </c>
      <c r="L87" s="17" t="n">
        <f aca="false">L32+Assumptions!$C$72+Assumptions!$C$73</f>
        <v>0.1225</v>
      </c>
      <c r="M87" s="17" t="n">
        <f aca="false">M32+Assumptions!$C$72+Assumptions!$C$73</f>
        <v>0.1225</v>
      </c>
      <c r="N87" s="17" t="n">
        <f aca="false">N32+Assumptions!$C$72+Assumptions!$C$73</f>
        <v>0.1225</v>
      </c>
      <c r="O87" s="17" t="n">
        <f aca="false">O32+Assumptions!$C$72+Assumptions!$C$73</f>
        <v>0.1225</v>
      </c>
      <c r="P87" s="17" t="n">
        <f aca="false">P32+Assumptions!$C$72+Assumptions!$C$73</f>
        <v>0.1225</v>
      </c>
      <c r="Q87" s="17" t="n">
        <f aca="false">Q32+Assumptions!$C$72+Assumptions!$C$73</f>
        <v>0.1225</v>
      </c>
      <c r="R87" s="17" t="n">
        <f aca="false">R32+Assumptions!$C$72+Assumptions!$C$73</f>
        <v>0.1225</v>
      </c>
      <c r="S87" s="17" t="n">
        <f aca="false">S32+Assumptions!$C$72+Assumptions!$C$73</f>
        <v>0.1225</v>
      </c>
      <c r="T87" s="17" t="n">
        <f aca="false">T32+Assumptions!$C$72+Assumptions!$C$73</f>
        <v>0.1225</v>
      </c>
      <c r="U87" s="17" t="n">
        <f aca="false">U32+Assumptions!$C$72+Assumptions!$C$73</f>
        <v>0.1225</v>
      </c>
      <c r="V87" s="17" t="n">
        <f aca="false">U32+Assumptions!$C$72+Assumptions!$C$73</f>
        <v>0.1225</v>
      </c>
      <c r="W87" s="17" t="n">
        <f aca="false">U32+Assumptions!$C$72+Assumptions!$C$73</f>
        <v>0.1225</v>
      </c>
      <c r="X87" s="17" t="n">
        <f aca="false">U32+Assumptions!$C$72+Assumptions!$C$73</f>
        <v>0.1225</v>
      </c>
      <c r="Y87" s="17" t="n">
        <f aca="false">U32+Assumptions!$C$72+Assumptions!$C$73</f>
        <v>0.1225</v>
      </c>
    </row>
    <row r="88" customFormat="false" ht="15" hidden="false" customHeight="false" outlineLevel="0" collapsed="false">
      <c r="B88" s="9" t="s">
        <v>231</v>
      </c>
      <c r="J88" s="17" t="n">
        <f aca="false">J87*(1+Assumptions!$C$74)</f>
        <v>0.214375</v>
      </c>
      <c r="K88" s="17" t="n">
        <f aca="false">K87*(1+Assumptions!$C$74)</f>
        <v>0.214375</v>
      </c>
      <c r="L88" s="17" t="n">
        <f aca="false">L87*(1+Assumptions!$C$74)</f>
        <v>0.214375</v>
      </c>
      <c r="M88" s="17" t="n">
        <f aca="false">M87*(1+Assumptions!$C$74)</f>
        <v>0.214375</v>
      </c>
      <c r="N88" s="17" t="n">
        <f aca="false">N87*(1+Assumptions!$C$74)</f>
        <v>0.214375</v>
      </c>
      <c r="O88" s="17" t="n">
        <f aca="false">O87*(1+Assumptions!$C$74)</f>
        <v>0.214375</v>
      </c>
      <c r="P88" s="17" t="n">
        <f aca="false">P87*(1+Assumptions!$C$74)</f>
        <v>0.214375</v>
      </c>
      <c r="Q88" s="17" t="n">
        <f aca="false">Q87*(1+Assumptions!$C$74)</f>
        <v>0.214375</v>
      </c>
      <c r="R88" s="17" t="n">
        <f aca="false">R87*(1+Assumptions!$C$74)</f>
        <v>0.214375</v>
      </c>
      <c r="S88" s="17" t="n">
        <f aca="false">S87*(1+Assumptions!$C$74)</f>
        <v>0.214375</v>
      </c>
      <c r="T88" s="17" t="n">
        <f aca="false">T87*(1+Assumptions!$C$74)</f>
        <v>0.214375</v>
      </c>
      <c r="U88" s="17" t="n">
        <f aca="false">U87*(1+Assumptions!$C$74)</f>
        <v>0.214375</v>
      </c>
      <c r="V88" s="17" t="n">
        <f aca="false">V87*(1+Assumptions!$C$74)</f>
        <v>0.214375</v>
      </c>
      <c r="W88" s="17" t="n">
        <f aca="false">W87*(1+Assumptions!$C$74)</f>
        <v>0.214375</v>
      </c>
      <c r="X88" s="17" t="n">
        <f aca="false">X87*(1+Assumptions!$C$74)</f>
        <v>0.214375</v>
      </c>
      <c r="Y88" s="17" t="n">
        <f aca="false">Y87*(1+Assumptions!$C$74)</f>
        <v>0.214375</v>
      </c>
    </row>
    <row r="89" customFormat="false" ht="15" hidden="false" customHeight="false" outlineLevel="0" collapsed="false">
      <c r="B89" s="9" t="s">
        <v>232</v>
      </c>
      <c r="J89" s="17" t="n">
        <f aca="false">(J32+Assumptions!$C$75)*Assumptions!$C$74</f>
        <v>0.061875</v>
      </c>
      <c r="K89" s="17" t="n">
        <f aca="false">(K32+Assumptions!$C$75)*Assumptions!$C$74</f>
        <v>0.061875</v>
      </c>
      <c r="L89" s="17" t="n">
        <f aca="false">(L32+Assumptions!$C$75)*Assumptions!$C$74</f>
        <v>0.061875</v>
      </c>
      <c r="M89" s="17" t="n">
        <f aca="false">(M32+Assumptions!$C$75)*Assumptions!$C$74</f>
        <v>0.061875</v>
      </c>
      <c r="N89" s="17" t="n">
        <f aca="false">(N32+Assumptions!$C$75)*Assumptions!$C$74</f>
        <v>0.061875</v>
      </c>
      <c r="O89" s="17" t="n">
        <f aca="false">(O32+Assumptions!$C$75)*Assumptions!$C$74</f>
        <v>0.061875</v>
      </c>
      <c r="P89" s="17" t="n">
        <f aca="false">(P32+Assumptions!$C$75)*Assumptions!$C$74</f>
        <v>0.061875</v>
      </c>
      <c r="Q89" s="17" t="n">
        <f aca="false">(Q32+Assumptions!$C$75)*Assumptions!$C$74</f>
        <v>0.061875</v>
      </c>
      <c r="R89" s="17" t="n">
        <f aca="false">(R32+Assumptions!$C$75)*Assumptions!$C$74</f>
        <v>0.061875</v>
      </c>
      <c r="S89" s="17" t="n">
        <f aca="false">(S32+Assumptions!$C$75)*Assumptions!$C$74</f>
        <v>0.061875</v>
      </c>
      <c r="T89" s="17" t="n">
        <f aca="false">(T32+Assumptions!$C$75)*Assumptions!$C$74</f>
        <v>0.061875</v>
      </c>
      <c r="U89" s="17" t="n">
        <f aca="false">(U32+Assumptions!$C$75)*Assumptions!$C$74</f>
        <v>0.061875</v>
      </c>
      <c r="V89" s="17" t="n">
        <f aca="false">(U32+Assumptions!$C$75)*Assumptions!$C$74</f>
        <v>0.061875</v>
      </c>
      <c r="W89" s="17" t="n">
        <f aca="false">(U32+Assumptions!$C$75)*Assumptions!$C$74</f>
        <v>0.061875</v>
      </c>
      <c r="X89" s="17" t="n">
        <f aca="false">(U32+Assumptions!$C$75)*Assumptions!$C$74</f>
        <v>0.061875</v>
      </c>
      <c r="Y89" s="17" t="n">
        <f aca="false">(U32+Assumptions!$C$75)*Assumptions!$C$74</f>
        <v>0.061875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0.122125</v>
      </c>
      <c r="K92" s="17" t="n">
        <f aca="false">K88-K89-K90-K91</f>
        <v>0.122125</v>
      </c>
      <c r="L92" s="17" t="n">
        <f aca="false">L88-L89-L90-L91</f>
        <v>0.122125</v>
      </c>
      <c r="M92" s="17" t="n">
        <f aca="false">M88-M89-M90-M91</f>
        <v>0.122125</v>
      </c>
      <c r="N92" s="17" t="n">
        <f aca="false">N88-N89-N90-N91</f>
        <v>0.122125</v>
      </c>
      <c r="O92" s="17" t="n">
        <f aca="false">O88-O89-O90-O91</f>
        <v>0.122125</v>
      </c>
      <c r="P92" s="17" t="n">
        <f aca="false">P88-P89-P90-P91</f>
        <v>0.122125</v>
      </c>
      <c r="Q92" s="17" t="n">
        <f aca="false">Q88-Q89-Q90-Q91</f>
        <v>0.122125</v>
      </c>
      <c r="R92" s="17" t="n">
        <f aca="false">R88-R89-R90-R91</f>
        <v>0.122125</v>
      </c>
      <c r="S92" s="17" t="n">
        <f aca="false">S88-S89-S90-S91</f>
        <v>0.122125</v>
      </c>
      <c r="T92" s="17" t="n">
        <f aca="false">T88-T89-T90-T91</f>
        <v>0.122125</v>
      </c>
      <c r="U92" s="17" t="n">
        <f aca="false">U88-U89-U90-U91</f>
        <v>0.122125</v>
      </c>
      <c r="V92" s="17" t="n">
        <f aca="false">V88-V89-V90-V91</f>
        <v>0.122125</v>
      </c>
      <c r="W92" s="17" t="n">
        <f aca="false">W88-W89-W90-W91</f>
        <v>0.122125</v>
      </c>
      <c r="X92" s="17" t="n">
        <f aca="false">X88-X89-X90-X91</f>
        <v>0.122125</v>
      </c>
      <c r="Y92" s="17" t="n">
        <f aca="false">Y88-Y89-Y90-Y91</f>
        <v>0.122125</v>
      </c>
    </row>
    <row r="93" customFormat="false" ht="15" hidden="false" customHeight="false" outlineLevel="0" collapsed="false">
      <c r="B93" s="9" t="s">
        <v>236</v>
      </c>
      <c r="J93" s="17" t="n">
        <f aca="false">IF(J92&gt;Assumptions!$C$80,Assumptions!$C$79*J92,0)</f>
        <v>0.015265625</v>
      </c>
      <c r="K93" s="17" t="n">
        <f aca="false">IF(K92&gt;Assumptions!$C$80,Assumptions!$C$79*K92,0)</f>
        <v>0.015265625</v>
      </c>
      <c r="L93" s="17" t="n">
        <f aca="false">IF(L92&gt;Assumptions!$C$80,Assumptions!$C$79*L92,0)</f>
        <v>0.015265625</v>
      </c>
      <c r="M93" s="17" t="n">
        <f aca="false">IF(M92&gt;Assumptions!$C$80,Assumptions!$C$79*M92,0)</f>
        <v>0.015265625</v>
      </c>
      <c r="N93" s="17" t="n">
        <f aca="false">IF(N92&gt;Assumptions!$C$80,Assumptions!$C$79*N92,0)</f>
        <v>0.015265625</v>
      </c>
      <c r="O93" s="17" t="n">
        <f aca="false">IF(O92&gt;Assumptions!$C$80,Assumptions!$C$79*O92,0)</f>
        <v>0.015265625</v>
      </c>
      <c r="P93" s="17" t="n">
        <f aca="false">IF(P92&gt;Assumptions!$C$80,Assumptions!$C$79*P92,0)</f>
        <v>0.015265625</v>
      </c>
      <c r="Q93" s="17" t="n">
        <f aca="false">IF(Q92&gt;Assumptions!$C$80,Assumptions!$C$79*Q92,0)</f>
        <v>0.015265625</v>
      </c>
      <c r="R93" s="17" t="n">
        <f aca="false">IF(R92&gt;Assumptions!$C$80,Assumptions!$C$79*R92,0)</f>
        <v>0.015265625</v>
      </c>
      <c r="S93" s="17" t="n">
        <f aca="false">IF(S92&gt;Assumptions!$C$80,Assumptions!$C$79*S92,0)</f>
        <v>0.015265625</v>
      </c>
      <c r="T93" s="17" t="n">
        <f aca="false">IF(T92&gt;Assumptions!$C$80,Assumptions!$C$79*T92,0)</f>
        <v>0.015265625</v>
      </c>
      <c r="U93" s="17" t="n">
        <f aca="false">IF(U92&gt;Assumptions!$C$80,Assumptions!$C$79*U92,0)</f>
        <v>0.015265625</v>
      </c>
      <c r="V93" s="17" t="n">
        <f aca="false">IF(V92&gt;Assumptions!$C$80,Assumptions!$C$79*V92,0)</f>
        <v>0.015265625</v>
      </c>
      <c r="W93" s="17" t="n">
        <f aca="false">IF(W92&gt;Assumptions!$C$80,Assumptions!$C$79*W92,0)</f>
        <v>0.015265625</v>
      </c>
      <c r="X93" s="17" t="n">
        <f aca="false">IF(X92&gt;Assumptions!$C$80,Assumptions!$C$79*X92,0)</f>
        <v>0.015265625</v>
      </c>
      <c r="Y93" s="17" t="n">
        <f aca="false">IF(Y92&gt;Assumptions!$C$80,Assumptions!$C$79*Y92,0)</f>
        <v>0.015265625</v>
      </c>
    </row>
    <row r="94" customFormat="false" ht="15" hidden="false" customHeight="false" outlineLevel="0" collapsed="false">
      <c r="B94" s="9" t="s">
        <v>237</v>
      </c>
      <c r="J94" s="17" t="n">
        <f aca="false">J92-J93</f>
        <v>0.106859375</v>
      </c>
      <c r="K94" s="17" t="n">
        <f aca="false">K92-K93</f>
        <v>0.106859375</v>
      </c>
      <c r="L94" s="17" t="n">
        <f aca="false">L92-L93</f>
        <v>0.106859375</v>
      </c>
      <c r="M94" s="17" t="n">
        <f aca="false">M92-M93</f>
        <v>0.106859375</v>
      </c>
      <c r="N94" s="17" t="n">
        <f aca="false">N92-N93</f>
        <v>0.106859375</v>
      </c>
      <c r="O94" s="17" t="n">
        <f aca="false">O92-O93</f>
        <v>0.106859375</v>
      </c>
      <c r="P94" s="17" t="n">
        <f aca="false">P92-P93</f>
        <v>0.106859375</v>
      </c>
      <c r="Q94" s="17" t="n">
        <f aca="false">Q92-Q93</f>
        <v>0.106859375</v>
      </c>
      <c r="R94" s="17" t="n">
        <f aca="false">R92-R93</f>
        <v>0.106859375</v>
      </c>
      <c r="S94" s="17" t="n">
        <f aca="false">S92-S93</f>
        <v>0.106859375</v>
      </c>
      <c r="T94" s="17" t="n">
        <f aca="false">T92-T93</f>
        <v>0.106859375</v>
      </c>
      <c r="U94" s="17" t="n">
        <f aca="false">U92-U93</f>
        <v>0.106859375</v>
      </c>
      <c r="V94" s="17" t="n">
        <f aca="false">V92-V93</f>
        <v>0.106859375</v>
      </c>
      <c r="W94" s="17" t="n">
        <f aca="false">W92-W93</f>
        <v>0.106859375</v>
      </c>
      <c r="X94" s="17" t="n">
        <f aca="false">X92-X93</f>
        <v>0.106859375</v>
      </c>
      <c r="Y94" s="17" t="n">
        <f aca="false">Y92-Y93</f>
        <v>0.106859375</v>
      </c>
    </row>
    <row r="95" customFormat="false" ht="15" hidden="false" customHeight="false" outlineLevel="0" collapsed="false">
      <c r="B95" s="9" t="s">
        <v>238</v>
      </c>
      <c r="J95" s="17" t="n">
        <f aca="false">$C$27*Assumptions!$C$82*(1+Assumptions!$C$74)*IF(AND(J$31&gt;=5,J$31&lt;=8),$C$26,1)</f>
        <v>0.021</v>
      </c>
      <c r="K95" s="17" t="n">
        <f aca="false">$C$27*Assumptions!$C$82*(1+Assumptions!$C$74)*IF(AND(K$31&gt;=5,K$31&lt;=8),$C$26,1)</f>
        <v>0.021</v>
      </c>
      <c r="L95" s="17" t="n">
        <f aca="false">$C$27*Assumptions!$C$82*(1+Assumptions!$C$74)*IF(AND(L$31&gt;=5,L$31&lt;=8),$C$26,1)</f>
        <v>0.021</v>
      </c>
      <c r="M95" s="17" t="n">
        <f aca="false">$C$27*Assumptions!$C$82*(1+Assumptions!$C$74)*IF(AND(M$31&gt;=5,M$31&lt;=8),$C$26,1)</f>
        <v>0.021</v>
      </c>
      <c r="N95" s="17" t="n">
        <f aca="false">$C$27*Assumptions!$C$82*(1+Assumptions!$C$74)*IF(AND(N$31&gt;=5,N$31&lt;=8),$C$26,1)</f>
        <v>0.021</v>
      </c>
      <c r="O95" s="17" t="n">
        <f aca="false">$C$27*Assumptions!$C$82*(1+Assumptions!$C$74)*IF(AND(O$31&gt;=5,O$31&lt;=8),$C$26,1)</f>
        <v>0.021</v>
      </c>
      <c r="P95" s="17" t="n">
        <f aca="false">$C$27*Assumptions!$C$82*(1+Assumptions!$C$74)*IF(AND(P$31&gt;=5,P$31&lt;=8),$C$26,1)</f>
        <v>0.021</v>
      </c>
      <c r="Q95" s="17" t="n">
        <f aca="false">$C$27*Assumptions!$C$82*(1+Assumptions!$C$74)*IF(AND(Q$31&gt;=5,Q$31&lt;=8),$C$26,1)</f>
        <v>0.021</v>
      </c>
      <c r="R95" s="17" t="n">
        <f aca="false">$C$27*Assumptions!$C$82*(1+Assumptions!$C$74)*IF(AND(R$31&gt;=5,R$31&lt;=8),$C$26,1)</f>
        <v>0.021</v>
      </c>
      <c r="S95" s="17" t="n">
        <f aca="false">$C$27*Assumptions!$C$82*(1+Assumptions!$C$74)*IF(AND(S$31&gt;=5,S$31&lt;=8),$C$26,1)</f>
        <v>0.021</v>
      </c>
      <c r="T95" s="17" t="n">
        <f aca="false">$C$27*Assumptions!$C$82*(1+Assumptions!$C$74)*IF(AND(T$31&gt;=5,T$31&lt;=8),$C$26,1)</f>
        <v>0.021</v>
      </c>
      <c r="U95" s="17" t="n">
        <f aca="false">$C$27*Assumptions!$C$82*(1+Assumptions!$C$74)*IF(AND(U$31&gt;=5,U$31&lt;=8),$C$26,1)</f>
        <v>0.021</v>
      </c>
      <c r="V95" s="17" t="n">
        <f aca="false">$C$27*Assumptions!$C$82*(1+Assumptions!$C$74)*IF(AND(V$31&gt;=5,V$31&lt;=8),$C$26,1)</f>
        <v>0.021</v>
      </c>
      <c r="W95" s="17" t="n">
        <f aca="false">$C$27*Assumptions!$C$82*(1+Assumptions!$C$74)*IF(AND(W$31&gt;=5,W$31&lt;=8),$C$26,1)</f>
        <v>0.021</v>
      </c>
      <c r="X95" s="17" t="n">
        <f aca="false">$C$27*Assumptions!$C$82*(1+Assumptions!$C$74)*IF(AND(X$31&gt;=5,X$31&lt;=8),$C$26,1)</f>
        <v>0.021</v>
      </c>
      <c r="Y95" s="17" t="n">
        <f aca="false">$C$27*Assumptions!$C$82*(1+Assumptions!$C$74)*IF(AND(Y$31&gt;=5,Y$31&lt;=8),$C$26,1)</f>
        <v>0.021</v>
      </c>
    </row>
    <row r="96" customFormat="false" ht="15" hidden="false" customHeight="false" outlineLevel="0" collapsed="false">
      <c r="B96" s="9" t="s">
        <v>220</v>
      </c>
      <c r="J96" s="42" t="n">
        <f aca="false">I97*J94/4</f>
        <v>0.66787109375</v>
      </c>
      <c r="K96" s="42" t="n">
        <f aca="false">J97*K94/4</f>
        <v>0.66717974281311</v>
      </c>
      <c r="L96" s="42" t="n">
        <f aca="false">K97*L94/4</f>
        <v>0.666473552136384</v>
      </c>
      <c r="M96" s="42" t="n">
        <f aca="false">L97*M94/4</f>
        <v>0.665752203187124</v>
      </c>
      <c r="N96" s="42" t="n">
        <f aca="false">M97*N94/4</f>
        <v>0.665015370595379</v>
      </c>
      <c r="O96" s="42" t="n">
        <f aca="false">N97*O94/4</f>
        <v>0.664262722007182</v>
      </c>
      <c r="P96" s="42" t="n">
        <f aca="false">O97*P94/4</f>
        <v>0.663493917934641</v>
      </c>
      <c r="Q96" s="42" t="n">
        <f aca="false">P97*Q94/4</f>
        <v>0.662708611602808</v>
      </c>
      <c r="R96" s="42" t="n">
        <f aca="false">Q97*R94/4</f>
        <v>0.661906448793267</v>
      </c>
      <c r="S96" s="42" t="n">
        <f aca="false">R97*S94/4</f>
        <v>0.661087067684357</v>
      </c>
      <c r="T96" s="42" t="n">
        <f aca="false">S97*T94/4</f>
        <v>0.660250098687972</v>
      </c>
      <c r="U96" s="42" t="n">
        <f aca="false">T97*U94/4</f>
        <v>0.659395164282857</v>
      </c>
      <c r="V96" s="42" t="n">
        <f aca="false">U97*V94/4</f>
        <v>0.658521878844319</v>
      </c>
      <c r="W96" s="42" t="n">
        <f aca="false">V97*W94/4</f>
        <v>0.657629848470293</v>
      </c>
      <c r="X96" s="42" t="n">
        <f aca="false">W97*X94/4</f>
        <v>0.656718670803669</v>
      </c>
      <c r="Y96" s="42" t="n">
        <f aca="false">X97*Y94/4</f>
        <v>0.655787934850803</v>
      </c>
    </row>
    <row r="97" customFormat="false" ht="15" hidden="false" customHeight="false" outlineLevel="0" collapsed="false">
      <c r="B97" s="9" t="s">
        <v>223</v>
      </c>
      <c r="I97" s="36" t="n">
        <f aca="false">Assumptions!$C$70</f>
        <v>25</v>
      </c>
      <c r="J97" s="36" t="n">
        <f aca="false">I97+J96-Assumptions!$C$71-I97*J95/4</f>
        <v>24.97412109375</v>
      </c>
      <c r="K97" s="36" t="n">
        <f aca="false">J97+K96-Assumptions!$C$71-J97*K95/4</f>
        <v>24.9476867008209</v>
      </c>
      <c r="L97" s="36" t="n">
        <f aca="false">K97+L96-Assumptions!$C$71-K97*L95/4</f>
        <v>24.920684897778</v>
      </c>
      <c r="M97" s="36" t="n">
        <f aca="false">L97+M96-Assumptions!$C$71-L97*M95/4</f>
        <v>24.8931035052518</v>
      </c>
      <c r="N97" s="36" t="n">
        <f aca="false">M97+N96-Assumptions!$C$71-M97*N95/4</f>
        <v>24.8649300824446</v>
      </c>
      <c r="O97" s="36" t="n">
        <f aca="false">N97+O96-Assumptions!$C$71-N97*O95/4</f>
        <v>24.8361519215189</v>
      </c>
      <c r="P97" s="36" t="n">
        <f aca="false">O97+P96-Assumptions!$C$71-O97*P95/4</f>
        <v>24.8067560418656</v>
      </c>
      <c r="Q97" s="36" t="n">
        <f aca="false">P97+Q96-Assumptions!$C$71-P97*Q95/4</f>
        <v>24.7767291842486</v>
      </c>
      <c r="R97" s="36" t="n">
        <f aca="false">Q97+R96-Assumptions!$C$71-Q97*R95/4</f>
        <v>24.7460578048246</v>
      </c>
      <c r="S97" s="36" t="n">
        <f aca="false">R97+S96-Assumptions!$C$71-R97*S95/4</f>
        <v>24.7147280690336</v>
      </c>
      <c r="T97" s="36" t="n">
        <f aca="false">S97+T96-Assumptions!$C$71-S97*T95/4</f>
        <v>24.6827258453592</v>
      </c>
      <c r="U97" s="36" t="n">
        <f aca="false">T97+U96-Assumptions!$C$71-T97*U95/4</f>
        <v>24.6500366989539</v>
      </c>
      <c r="V97" s="36" t="n">
        <f aca="false">U97+V96-Assumptions!$C$71-U97*V95/4</f>
        <v>24.6166458851287</v>
      </c>
      <c r="W97" s="36" t="n">
        <f aca="false">V97+W96-Assumptions!$C$71-V97*W95/4</f>
        <v>24.5825383427021</v>
      </c>
      <c r="X97" s="36" t="n">
        <f aca="false">W97+X96-Assumptions!$C$71-W97*X95/4</f>
        <v>24.5476986872065</v>
      </c>
      <c r="Y97" s="36" t="n">
        <f aca="false">X97+Y96-Assumptions!$C$71-X97*Y95/4</f>
        <v>24.5121112039495</v>
      </c>
    </row>
    <row r="98" customFormat="false" ht="15" hidden="false" customHeight="false" outlineLevel="0" collapsed="false">
      <c r="B98" s="9" t="s">
        <v>239</v>
      </c>
      <c r="J98" s="33" t="n">
        <f aca="false">J96/Assumptions!$C$71</f>
        <v>1.18732638888889</v>
      </c>
      <c r="K98" s="33" t="n">
        <f aca="false">K96/Assumptions!$C$71</f>
        <v>1.18609732055664</v>
      </c>
      <c r="L98" s="33" t="n">
        <f aca="false">L96/Assumptions!$C$71</f>
        <v>1.18484187046468</v>
      </c>
      <c r="M98" s="33" t="n">
        <f aca="false">M96/Assumptions!$C$71</f>
        <v>1.18355947233266</v>
      </c>
      <c r="N98" s="33" t="n">
        <f aca="false">N96/Assumptions!$C$71</f>
        <v>1.18224954772512</v>
      </c>
      <c r="O98" s="33" t="n">
        <f aca="false">O96/Assumptions!$C$71</f>
        <v>1.18091150579055</v>
      </c>
      <c r="P98" s="33" t="n">
        <f aca="false">P96/Assumptions!$C$71</f>
        <v>1.17954474299492</v>
      </c>
      <c r="Q98" s="33" t="n">
        <f aca="false">Q96/Assumptions!$C$71</f>
        <v>1.17814864284944</v>
      </c>
      <c r="R98" s="33" t="n">
        <f aca="false">R96/Assumptions!$C$71</f>
        <v>1.17672257563247</v>
      </c>
      <c r="S98" s="33" t="n">
        <f aca="false">S96/Assumptions!$C$71</f>
        <v>1.17526589810552</v>
      </c>
      <c r="T98" s="33" t="n">
        <f aca="false">T96/Assumptions!$C$71</f>
        <v>1.17377795322306</v>
      </c>
      <c r="U98" s="33" t="n">
        <f aca="false">U96/Assumptions!$C$71</f>
        <v>1.17225806983619</v>
      </c>
      <c r="V98" s="33" t="n">
        <f aca="false">V96/Assumptions!$C$71</f>
        <v>1.1707055623899</v>
      </c>
      <c r="W98" s="33" t="n">
        <f aca="false">W96/Assumptions!$C$71</f>
        <v>1.16911973061386</v>
      </c>
      <c r="X98" s="33" t="n">
        <f aca="false">X96/Assumptions!$C$71</f>
        <v>1.16749985920652</v>
      </c>
      <c r="Y98" s="33" t="n">
        <f aca="false">Y96/Assumptions!$C$71</f>
        <v>1.16584521751254</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98.1023567957235</v>
      </c>
      <c r="F107" s="17" t="n">
        <f aca="false">Assumptions!$F$24</f>
        <v>0.0515</v>
      </c>
      <c r="G107" s="26" t="n">
        <f aca="false">SUM(I107:Y107)</f>
        <v>3388.08919893088</v>
      </c>
      <c r="H107" s="31" t="n">
        <f aca="false">(1+IRR(I107:Y107,IF(SUM(I107:Y107)&lt;0,-0.05,0.01)))^4-1</f>
        <v>0.0460431652110525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25169.3391989309</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96.3399627271719</v>
      </c>
      <c r="F108" s="17" t="n">
        <f aca="false">Assumptions!$F$25</f>
        <v>0.053</v>
      </c>
      <c r="G108" s="26" t="n">
        <f aca="false">SUM(I108:Y108)</f>
        <v>3059.99068179298</v>
      </c>
      <c r="H108" s="31" t="n">
        <f aca="false">(1+IRR(I108:Y108,IF(SUM(I108:Y108)&lt;0,-0.05,0.01)))^4-1</f>
        <v>0.0418452116385981</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24747.490681793</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94.7106049806793</v>
      </c>
      <c r="F109" s="17" t="n">
        <f aca="false">Assumptions!$F$26</f>
        <v>0.0545</v>
      </c>
      <c r="G109" s="26" t="n">
        <f aca="false">SUM(I109:Y109)</f>
        <v>2765.15124516982</v>
      </c>
      <c r="H109" s="31" t="n">
        <f aca="false">(1+IRR(I109:Y109,IF(SUM(I109:Y109)&lt;0,-0.05,0.01)))^4-1</f>
        <v>0.0380360269980895</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24358.9012451698</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95.98075917771</v>
      </c>
      <c r="F110" s="17" t="n">
        <f aca="false">RATE(Assumptions!$C$30*2,Assumptions!$D$32*100/2,-Assumptions!$E$32,100)*2</f>
        <v>0.0699042470751673</v>
      </c>
      <c r="G110" s="26" t="n">
        <f aca="false">SUM(I110:Y110)</f>
        <v>2153.84489721375</v>
      </c>
      <c r="H110" s="31" t="n">
        <f aca="false">(1+IRR(I110:Y110,IF(SUM(I110:Y110)&lt;0,-0.05,0.01)))^4-1</f>
        <v>0.0595997350880557</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12419.4698972137</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95.7774680930997</v>
      </c>
      <c r="F111" s="17" t="n">
        <f aca="false">RATE(Assumptions!$C$30*2,Assumptions!$D$33*100/2,-Assumptions!$E$33,100)*2</f>
        <v>0.0736404123832243</v>
      </c>
      <c r="G111" s="26" t="n">
        <f aca="false">SUM(I111:Y111)</f>
        <v>2284.68351163746</v>
      </c>
      <c r="H111" s="31" t="n">
        <f aca="false">(1+IRR(I111:Y111,IF(SUM(I111:Y111)&lt;0,-0.05,0.01)))^4-1</f>
        <v>0.0635251888043584</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12409.6835116375</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95.5719669882233</v>
      </c>
      <c r="F112" s="17" t="n">
        <f aca="false">RATE(Assumptions!$C$30*2,Assumptions!$D$34*100/2,-Assumptions!$E$34,100)*2</f>
        <v>0.0773997713205988</v>
      </c>
      <c r="G112" s="26" t="n">
        <f aca="false">SUM(I112:Y112)</f>
        <v>2415.24587352791</v>
      </c>
      <c r="H112" s="31" t="n">
        <f aca="false">(1+IRR(I112:Y112,IF(SUM(I112:Y112)&lt;0,-0.05,0.01)))^4-1</f>
        <v>0.0674817309097744</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12399.6208735279</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95.3642402830661</v>
      </c>
      <c r="F113" s="17" t="n">
        <f aca="false">RATE(Assumptions!$C$30*2,Assumptions!$D$35*100/2,-Assumptions!$E$35,100)*2</f>
        <v>0.0811827080590467</v>
      </c>
      <c r="G113" s="26" t="n">
        <f aca="false">SUM(I113:Y113)</f>
        <v>2545.53003538327</v>
      </c>
      <c r="H113" s="31" t="n">
        <f aca="false">(1+IRR(I113:Y113,IF(SUM(I113:Y113)&lt;0,-0.05,0.01)))^4-1</f>
        <v>0.0714698957414559</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12389.2800353833</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95.1602154821226</v>
      </c>
      <c r="F114" s="17" t="n">
        <f aca="false">RATE(Assumptions!$C$30*2,Assumptions!$D$36*100/2,-Assumptions!$E$36,100)*2</f>
        <v>0.0875368825411204</v>
      </c>
      <c r="G114" s="26" t="n">
        <f aca="false">SUM(I114:Y114)</f>
        <v>2770.02693526532</v>
      </c>
      <c r="H114" s="31" t="n">
        <f aca="false">(1+IRR(I114:Y114,IF(SUM(I114:Y114)&lt;0,-0.05,0.01)))^4-1</f>
        <v>0.0782036710148057</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12395.0269352653</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93.8426990312111</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0.0865</v>
      </c>
      <c r="G116" s="26" t="n">
        <f aca="false">SUM(I116:Y116)</f>
        <v>16002.1192013428</v>
      </c>
      <c r="H116" s="31" t="n">
        <f aca="false">(1+IRR(I116:Y116,IF(SUM(I116:Y116)&lt;0,-0.05,0.01)))^4-1</f>
        <v>0.0744950190553291</v>
      </c>
      <c r="I116" s="41" t="n">
        <f aca="false">IF(I$104=0,-$D116,0)+IF(AND(I$104&gt;=1,I$104&lt;=12),$C$35*$I$39,0)+IF(I$104=12,$C$35*$I$40,0)</f>
        <v>-75000</v>
      </c>
      <c r="J116" s="41" t="n">
        <f aca="false">IF(J$104=0,-$D116,0)+IF(AND(J$104&gt;=1,J$104&lt;=12),$C$35*$J$39,0)+IF(J$104=12,$C$35*$J$40,0)</f>
        <v>1621.875</v>
      </c>
      <c r="K116" s="41" t="n">
        <f aca="false">IF(K$104=0,-$D116,0)+IF(AND(K$104&gt;=1,K$104&lt;=12),$C$35*$K$39,0)+IF(K$104=12,$C$35*$K$40,0)</f>
        <v>1616.1984375</v>
      </c>
      <c r="L116" s="41" t="n">
        <f aca="false">IF(L$104=0,-$D116,0)+IF(AND(L$104&gt;=1,L$104&lt;=12),$C$35*$L$39,0)+IF(L$104=12,$C$35*$L$40,0)</f>
        <v>1610.54174296875</v>
      </c>
      <c r="M116" s="41" t="n">
        <f aca="false">IF(M$104=0,-$D116,0)+IF(AND(M$104&gt;=1,M$104&lt;=12),$C$35*$M$39,0)+IF(M$104=12,$C$35*$M$40,0)</f>
        <v>1604.90484686836</v>
      </c>
      <c r="N116" s="41" t="n">
        <f aca="false">IF(N$104=0,-$D116,0)+IF(AND(N$104&gt;=1,N$104&lt;=12),$C$35*$N$39,0)+IF(N$104=12,$C$35*$N$40,0)</f>
        <v>1599.28767990432</v>
      </c>
      <c r="O116" s="41" t="n">
        <f aca="false">IF(O$104=0,-$D116,0)+IF(AND(O$104&gt;=1,O$104&lt;=12),$C$35*$O$39,0)+IF(O$104=12,$C$35*$O$40,0)</f>
        <v>1593.69017302466</v>
      </c>
      <c r="P116" s="41" t="n">
        <f aca="false">IF(P$104=0,-$D116,0)+IF(AND(P$104&gt;=1,P$104&lt;=12),$C$35*$P$39,0)+IF(P$104=12,$C$35*$P$40,0)</f>
        <v>1588.11225741907</v>
      </c>
      <c r="Q116" s="41" t="n">
        <f aca="false">IF(Q$104=0,-$D116,0)+IF(AND(Q$104&gt;=1,Q$104&lt;=12),$C$35*$Q$39,0)+IF(Q$104=12,$C$35*$Q$40,0)</f>
        <v>1582.5538645181</v>
      </c>
      <c r="R116" s="41" t="n">
        <f aca="false">IF(R$104=0,-$D116,0)+IF(AND(R$104&gt;=1,R$104&lt;=12),$C$35*$R$39,0)+IF(R$104=12,$C$35*$R$40,0)</f>
        <v>1577.01492599229</v>
      </c>
      <c r="S116" s="41" t="n">
        <f aca="false">IF(S$104=0,-$D116,0)+IF(AND(S$104&gt;=1,S$104&lt;=12),$C$35*$S$39,0)+IF(S$104=12,$C$35*$S$40,0)</f>
        <v>1571.49537375132</v>
      </c>
      <c r="T116" s="41" t="n">
        <f aca="false">IF(T$104=0,-$D116,0)+IF(AND(T$104&gt;=1,T$104&lt;=12),$C$35*$T$39,0)+IF(T$104=12,$C$35*$T$40,0)</f>
        <v>1565.99513994319</v>
      </c>
      <c r="U116" s="41" t="n">
        <f aca="false">IF(U$104=0,-$D116,0)+IF(AND(U$104&gt;=1,U$104&lt;=12),$C$35*$U$39,0)+IF(U$104=12,$C$35*$U$40,0)</f>
        <v>73470.4497594528</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10366.5169334415</v>
      </c>
      <c r="H117" s="31" t="n">
        <f aca="false">(1+IRR(I117:Y117,IF(SUM(I117:Y117)&lt;0,-0.05,0.01)))^4-1</f>
        <v>0.138623660297822</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28419.1485123889</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9870.62853315695</v>
      </c>
      <c r="H118" s="31" t="n">
        <f aca="false">(1+IRR(I118:Y118,IF(SUM(I118:Y118)&lt;0,-0.05,0.01)))^4-1</f>
        <v>0.133761187421763</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27537.2951998236</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7837.30915393098</v>
      </c>
      <c r="H119" s="31" t="n">
        <f aca="false">(1+IRR(I119:Y119,IF(SUM(I119:Y119)&lt;0,-0.05,0.01)))^4-1</f>
        <v>0.113453266723132</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24087.309153931</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25600.1467958155</v>
      </c>
      <c r="H120" s="31" t="n">
        <f aca="false">(1+IRR(I120:Y120,IF(SUM(I120:Y120)&lt;0,-0.05,0.01)))^4-1</f>
        <v>0.08866358319116</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100850.146795816</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9360</v>
      </c>
      <c r="H121" s="31" t="n">
        <f aca="false">(1+IRR(I121:Y121,IF(SUM(I121:Y121)&lt;0,-0.05,0.01)))^4-1</f>
        <v>0.0613635506249997</v>
      </c>
      <c r="I121" s="41" t="n">
        <f aca="false">IF(I$104=0,-$D121,0)+IF(AND(I$104&gt;=1,I$104&lt;=12),$D121*I32/4,0)+IF(I$104=12,$D121,0)</f>
        <v>-52000</v>
      </c>
      <c r="J121" s="41" t="n">
        <f aca="false">IF(J$104=0,-$D121,0)+IF(AND(J$104&gt;=1,J$104&lt;=12),$D121*J32/4,0)+IF(J$104=12,$D121,0)</f>
        <v>780</v>
      </c>
      <c r="K121" s="41" t="n">
        <f aca="false">IF(K$104=0,-$D121,0)+IF(AND(K$104&gt;=1,K$104&lt;=12),$D121*K32/4,0)+IF(K$104=12,$D121,0)</f>
        <v>780</v>
      </c>
      <c r="L121" s="41" t="n">
        <f aca="false">IF(L$104=0,-$D121,0)+IF(AND(L$104&gt;=1,L$104&lt;=12),$D121*L32/4,0)+IF(L$104=12,$D121,0)</f>
        <v>780</v>
      </c>
      <c r="M121" s="41" t="n">
        <f aca="false">IF(M$104=0,-$D121,0)+IF(AND(M$104&gt;=1,M$104&lt;=12),$D121*M32/4,0)+IF(M$104=12,$D121,0)</f>
        <v>780</v>
      </c>
      <c r="N121" s="41" t="n">
        <f aca="false">IF(N$104=0,-$D121,0)+IF(AND(N$104&gt;=1,N$104&lt;=12),$D121*N32/4,0)+IF(N$104=12,$D121,0)</f>
        <v>780</v>
      </c>
      <c r="O121" s="41" t="n">
        <f aca="false">IF(O$104=0,-$D121,0)+IF(AND(O$104&gt;=1,O$104&lt;=12),$D121*O32/4,0)+IF(O$104=12,$D121,0)</f>
        <v>780</v>
      </c>
      <c r="P121" s="41" t="n">
        <f aca="false">IF(P$104=0,-$D121,0)+IF(AND(P$104&gt;=1,P$104&lt;=12),$D121*P32/4,0)+IF(P$104=12,$D121,0)</f>
        <v>780</v>
      </c>
      <c r="Q121" s="41" t="n">
        <f aca="false">IF(Q$104=0,-$D121,0)+IF(AND(Q$104&gt;=1,Q$104&lt;=12),$D121*Q32/4,0)+IF(Q$104=12,$D121,0)</f>
        <v>780</v>
      </c>
      <c r="R121" s="41" t="n">
        <f aca="false">IF(R$104=0,-$D121,0)+IF(AND(R$104&gt;=1,R$104&lt;=12),$D121*R32/4,0)+IF(R$104=12,$D121,0)</f>
        <v>780</v>
      </c>
      <c r="S121" s="41" t="n">
        <f aca="false">IF(S$104=0,-$D121,0)+IF(AND(S$104&gt;=1,S$104&lt;=12),$D121*S32/4,0)+IF(S$104=12,$D121,0)</f>
        <v>780</v>
      </c>
      <c r="T121" s="41" t="n">
        <f aca="false">IF(T$104=0,-$D121,0)+IF(AND(T$104&gt;=1,T$104&lt;=12),$D121*T32/4,0)+IF(T$104=12,$D121,0)</f>
        <v>780</v>
      </c>
      <c r="U121" s="41" t="n">
        <f aca="false">IF(U$104=0,-$D121,0)+IF(AND(U$104&gt;=1,U$104&lt;=12),$D121*U32/4,0)+IF(U$104=12,$D121,0)</f>
        <v>52780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15325.7311258937</v>
      </c>
      <c r="H123" s="31" t="n">
        <f aca="false">(1+IRR(I123:Y123,IF(SUM(I123:Y123)&lt;0,-0.05,0.01)))^4-1</f>
        <v>0.0447056272742963</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99894.4811258937</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6481.8312530277</v>
      </c>
      <c r="H124" s="31" t="n">
        <f aca="false">(1+IRR(I124:Y124,IF(SUM(I124:Y124)&lt;0,-0.05,0.01)))^4-1</f>
        <v>0.0318075090856442</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62013.0812530277</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16002.1192013428</v>
      </c>
      <c r="H125" s="31" t="n">
        <f aca="false">(1+IRR(I125:Y125,IF(SUM(I125:Y125)&lt;0,-0.05,0.01)))^4-1</f>
        <v>0.0744950190553291</v>
      </c>
      <c r="I125" s="41" t="n">
        <f aca="false">SUMIF($C$105:$C$121,"Loan fund",I$105:I$121)</f>
        <v>-75000</v>
      </c>
      <c r="J125" s="41" t="n">
        <f aca="false">SUMIF($C$105:$C$121,"Loan fund",J$105:J$121)</f>
        <v>1621.875</v>
      </c>
      <c r="K125" s="41" t="n">
        <f aca="false">SUMIF($C$105:$C$121,"Loan fund",K$105:K$121)</f>
        <v>1616.1984375</v>
      </c>
      <c r="L125" s="41" t="n">
        <f aca="false">SUMIF($C$105:$C$121,"Loan fund",L$105:L$121)</f>
        <v>1610.54174296875</v>
      </c>
      <c r="M125" s="41" t="n">
        <f aca="false">SUMIF($C$105:$C$121,"Loan fund",M$105:M$121)</f>
        <v>1604.90484686836</v>
      </c>
      <c r="N125" s="41" t="n">
        <f aca="false">SUMIF($C$105:$C$121,"Loan fund",N$105:N$121)</f>
        <v>1599.28767990432</v>
      </c>
      <c r="O125" s="41" t="n">
        <f aca="false">SUMIF($C$105:$C$121,"Loan fund",O$105:O$121)</f>
        <v>1593.69017302466</v>
      </c>
      <c r="P125" s="41" t="n">
        <f aca="false">SUMIF($C$105:$C$121,"Loan fund",P$105:P$121)</f>
        <v>1588.11225741907</v>
      </c>
      <c r="Q125" s="41" t="n">
        <f aca="false">SUMIF($C$105:$C$121,"Loan fund",Q$105:Q$121)</f>
        <v>1582.5538645181</v>
      </c>
      <c r="R125" s="41" t="n">
        <f aca="false">SUMIF($C$105:$C$121,"Loan fund",R$105:R$121)</f>
        <v>1577.01492599229</v>
      </c>
      <c r="S125" s="41" t="n">
        <f aca="false">SUMIF($C$105:$C$121,"Loan fund",S$105:S$121)</f>
        <v>1571.49537375132</v>
      </c>
      <c r="T125" s="41" t="n">
        <f aca="false">SUMIF($C$105:$C$121,"Loan fund",T$105:T$121)</f>
        <v>1565.99513994319</v>
      </c>
      <c r="U125" s="41" t="n">
        <f aca="false">SUMIF($C$105:$C$121,"Loan fund",U$105:U$121)</f>
        <v>73470.4497594528</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28074.4546205294</v>
      </c>
      <c r="H126" s="31" t="n">
        <f aca="false">(1+IRR(I126:Y126,IF(SUM(I126:Y126)&lt;0,-0.05,0.01)))^4-1</f>
        <v>0.128963159798274</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80043.7528661435</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25600.1467958155</v>
      </c>
      <c r="H127" s="31" t="n">
        <f aca="false">(1+IRR(I127:Y127,IF(SUM(I127:Y127)&lt;0,-0.05,0.01)))^4-1</f>
        <v>0.08866358319116</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100850.146795816</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9360</v>
      </c>
      <c r="H128" s="31" t="n">
        <f aca="false">(1+IRR(I128:Y128,IF(SUM(I128:Y128)&lt;0,-0.05,0.01)))^4-1</f>
        <v>0.0613635506249997</v>
      </c>
      <c r="I128" s="41" t="n">
        <f aca="false">SUMIF($C$105:$C$121,"Reserve",I$105:I$121)</f>
        <v>-52000</v>
      </c>
      <c r="J128" s="41" t="n">
        <f aca="false">SUMIF($C$105:$C$121,"Reserve",J$105:J$121)</f>
        <v>780</v>
      </c>
      <c r="K128" s="41" t="n">
        <f aca="false">SUMIF($C$105:$C$121,"Reserve",K$105:K$121)</f>
        <v>780</v>
      </c>
      <c r="L128" s="41" t="n">
        <f aca="false">SUMIF($C$105:$C$121,"Reserve",L$105:L$121)</f>
        <v>780</v>
      </c>
      <c r="M128" s="41" t="n">
        <f aca="false">SUMIF($C$105:$C$121,"Reserve",M$105:M$121)</f>
        <v>780</v>
      </c>
      <c r="N128" s="41" t="n">
        <f aca="false">SUMIF($C$105:$C$121,"Reserve",N$105:N$121)</f>
        <v>780</v>
      </c>
      <c r="O128" s="41" t="n">
        <f aca="false">SUMIF($C$105:$C$121,"Reserve",O$105:O$121)</f>
        <v>780</v>
      </c>
      <c r="P128" s="41" t="n">
        <f aca="false">SUMIF($C$105:$C$121,"Reserve",P$105:P$121)</f>
        <v>780</v>
      </c>
      <c r="Q128" s="41" t="n">
        <f aca="false">SUMIF($C$105:$C$121,"Reserve",Q$105:Q$121)</f>
        <v>780</v>
      </c>
      <c r="R128" s="41" t="n">
        <f aca="false">SUMIF($C$105:$C$121,"Reserve",R$105:R$121)</f>
        <v>780</v>
      </c>
      <c r="S128" s="41" t="n">
        <f aca="false">SUMIF($C$105:$C$121,"Reserve",S$105:S$121)</f>
        <v>780</v>
      </c>
      <c r="T128" s="41" t="n">
        <f aca="false">SUMIF($C$105:$C$121,"Reserve",T$105:T$121)</f>
        <v>780</v>
      </c>
      <c r="U128" s="41" t="n">
        <f aca="false">SUMIF($C$105:$C$121,"Reserve",U$105:U$121)</f>
        <v>52780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100844.282996609</v>
      </c>
      <c r="H129" s="31" t="n">
        <f aca="false">(1+IRR(I129:Y129,IF(SUM(I129:Y129)&lt;0,-0.05,0.01)))^4-1</f>
        <v>0.070949174106828</v>
      </c>
      <c r="I129" s="45" t="n">
        <f aca="false">SUM(I105:I121)</f>
        <v>-500000</v>
      </c>
      <c r="J129" s="45" t="n">
        <f aca="false">SUM(J105:J121)</f>
        <v>6866.78728070176</v>
      </c>
      <c r="K129" s="45" t="n">
        <f aca="false">SUM(K105:K121)</f>
        <v>12879.8607182018</v>
      </c>
      <c r="L129" s="45" t="n">
        <f aca="false">SUM(L105:L121)</f>
        <v>6855.45402367051</v>
      </c>
      <c r="M129" s="45" t="n">
        <f aca="false">SUM(M105:M121)</f>
        <v>12868.5671275701</v>
      </c>
      <c r="N129" s="45" t="n">
        <f aca="false">SUM(N105:N121)</f>
        <v>6844.19996060607</v>
      </c>
      <c r="O129" s="45" t="n">
        <f aca="false">SUM(O105:O121)</f>
        <v>12103.8802315042</v>
      </c>
      <c r="P129" s="45" t="n">
        <f aca="false">SUM(P105:P121)</f>
        <v>6610.8023158986</v>
      </c>
      <c r="Q129" s="45" t="n">
        <f aca="false">SUM(Q105:Q121)</f>
        <v>37092.7439229976</v>
      </c>
      <c r="R129" s="45" t="n">
        <f aca="false">SUM(R105:R121)</f>
        <v>6599.70498447182</v>
      </c>
      <c r="S129" s="45" t="n">
        <f aca="false">SUM(S105:S121)</f>
        <v>16481.6854322309</v>
      </c>
      <c r="T129" s="45" t="n">
        <f aca="false">SUM(T105:T121)</f>
        <v>6588.68519842272</v>
      </c>
      <c r="U129" s="45" t="n">
        <f aca="false">SUM(U105:U121)</f>
        <v>469051.911800333</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256</v>
      </c>
    </row>
    <row r="3" customFormat="false" ht="15" hidden="false" customHeight="false" outlineLevel="0" collapsed="false">
      <c r="B3" s="6" t="s">
        <v>182</v>
      </c>
    </row>
    <row r="5" customFormat="false" ht="15" hidden="false" customHeight="false" outlineLevel="0" collapsed="false">
      <c r="B5" s="7" t="s">
        <v>257</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-0.015</v>
      </c>
      <c r="D7" s="6" t="s">
        <v>185</v>
      </c>
    </row>
    <row r="8" customFormat="false" ht="15" hidden="false" customHeight="false" outlineLevel="0" collapsed="false">
      <c r="B8" s="9" t="s">
        <v>187</v>
      </c>
      <c r="C8" s="10" t="n">
        <v>0.0025</v>
      </c>
      <c r="D8" s="6" t="s">
        <v>185</v>
      </c>
    </row>
    <row r="9" customFormat="false" ht="15" hidden="false" customHeight="false" outlineLevel="0" collapsed="false">
      <c r="B9" s="9" t="s">
        <v>188</v>
      </c>
      <c r="C9" s="10" t="n">
        <v>0.01</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n">
        <v>8</v>
      </c>
      <c r="D14" s="37" t="n">
        <v>0.3</v>
      </c>
      <c r="E14" s="24" t="n">
        <v>12</v>
      </c>
    </row>
    <row r="15" customFormat="false" ht="15" hidden="false" customHeight="false" outlineLevel="0" collapsed="false">
      <c r="B15" s="9" t="s">
        <v>51</v>
      </c>
      <c r="C15" s="24" t="n">
        <v>6</v>
      </c>
      <c r="D15" s="37" t="n">
        <v>0.3</v>
      </c>
      <c r="E15" s="24" t="n">
        <v>10</v>
      </c>
    </row>
    <row r="16" customFormat="false" ht="15" hidden="false" customHeight="false" outlineLevel="0" collapsed="false">
      <c r="B16" s="9" t="s">
        <v>52</v>
      </c>
      <c r="C16" s="24" t="n">
        <v>6</v>
      </c>
      <c r="D16" s="37" t="n">
        <v>0.25</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21" t="n">
        <v>0.09</v>
      </c>
    </row>
    <row r="19" customFormat="false" ht="15" hidden="false" customHeight="false" outlineLevel="0" collapsed="false">
      <c r="B19" s="9" t="s">
        <v>195</v>
      </c>
      <c r="C19" s="12" t="n">
        <v>0.45</v>
      </c>
    </row>
    <row r="20" customFormat="false" ht="15" hidden="false" customHeight="false" outlineLevel="0" collapsed="false">
      <c r="B20" s="9" t="s">
        <v>196</v>
      </c>
      <c r="C20" s="38" t="n">
        <v>3</v>
      </c>
      <c r="D20" s="6" t="s">
        <v>197</v>
      </c>
    </row>
    <row r="21" customFormat="false" ht="15" hidden="false" customHeight="false" outlineLevel="0" collapsed="false">
      <c r="B21" s="9" t="s">
        <v>198</v>
      </c>
      <c r="C21" s="21" t="n">
        <v>0.03</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n">
        <v>7</v>
      </c>
      <c r="D23" s="39" t="n">
        <v>0.42</v>
      </c>
      <c r="E23" s="21" t="n">
        <v>-0.15</v>
      </c>
    </row>
    <row r="24" customFormat="false" ht="15" hidden="false" customHeight="false" outlineLevel="0" collapsed="false">
      <c r="B24" s="9" t="s">
        <v>65</v>
      </c>
      <c r="C24" s="24" t="n">
        <v>7</v>
      </c>
      <c r="D24" s="39" t="n">
        <v>0.36</v>
      </c>
      <c r="E24" s="21" t="n">
        <v>-0.1</v>
      </c>
    </row>
    <row r="25" customFormat="false" ht="15" hidden="false" customHeight="false" outlineLevel="0" collapsed="false">
      <c r="B25" s="9" t="s">
        <v>66</v>
      </c>
      <c r="C25" s="24" t="n">
        <v>6</v>
      </c>
      <c r="D25" s="39" t="n">
        <v>0.18</v>
      </c>
      <c r="E25" s="21" t="n">
        <v>-0.35</v>
      </c>
    </row>
    <row r="26" customFormat="false" ht="15" hidden="false" customHeight="false" outlineLevel="0" collapsed="false">
      <c r="B26" s="9" t="s">
        <v>202</v>
      </c>
      <c r="C26" s="38" t="n">
        <v>3</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0.25</v>
      </c>
    </row>
    <row r="29" customFormat="false" ht="15" hidden="false" customHeight="false" outlineLevel="0" collapsed="false">
      <c r="B29" s="9" t="s">
        <v>205</v>
      </c>
      <c r="C29" s="16" t="n">
        <v>4</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0.025</v>
      </c>
      <c r="O32" s="17" t="n">
        <f aca="false">IF(O$31=0,Assumptions!$C$6,Assumptions!$C$6+$C$6+IF(O$31&gt;=5,$C$7,0))</f>
        <v>0.025</v>
      </c>
      <c r="P32" s="17" t="n">
        <f aca="false">IF(P$31=0,Assumptions!$C$6,Assumptions!$C$6+$C$6+IF(P$31&gt;=5,$C$7,0))</f>
        <v>0.025</v>
      </c>
      <c r="Q32" s="17" t="n">
        <f aca="false">IF(Q$31=0,Assumptions!$C$6,Assumptions!$C$6+$C$6+IF(Q$31&gt;=5,$C$7,0))</f>
        <v>0.025</v>
      </c>
      <c r="R32" s="17" t="n">
        <f aca="false">IF(R$31=0,Assumptions!$C$6,Assumptions!$C$6+$C$6+IF(R$31&gt;=5,$C$7,0))</f>
        <v>0.025</v>
      </c>
      <c r="S32" s="17" t="n">
        <f aca="false">IF(S$31=0,Assumptions!$C$6,Assumptions!$C$6+$C$6+IF(S$31&gt;=5,$C$7,0))</f>
        <v>0.025</v>
      </c>
      <c r="T32" s="17" t="n">
        <f aca="false">IF(T$31=0,Assumptions!$C$6,Assumptions!$C$6+$C$6+IF(T$31&gt;=5,$C$7,0))</f>
        <v>0.025</v>
      </c>
      <c r="U32" s="17" t="n">
        <f aca="false">IF(U$31=0,Assumptions!$C$6,Assumptions!$C$6+$C$6+IF(U$31&gt;=5,$C$7,0))</f>
        <v>0.025</v>
      </c>
      <c r="V32" s="17" t="n">
        <f aca="false">IF(V$31=0,Assumptions!$C$6,Assumptions!$C$6+$C$6+IF(V$31&gt;=5,$C$7,0))</f>
        <v>0.025</v>
      </c>
      <c r="W32" s="17" t="n">
        <f aca="false">IF(W$31=0,Assumptions!$C$6,Assumptions!$C$6+$C$6+IF(W$31&gt;=5,$C$7,0))</f>
        <v>0.025</v>
      </c>
      <c r="X32" s="17" t="n">
        <f aca="false">IF(X$31=0,Assumptions!$C$6,Assumptions!$C$6+$C$6+IF(X$31&gt;=5,$C$7,0))</f>
        <v>0.025</v>
      </c>
      <c r="Y32" s="17" t="n">
        <f aca="false">IF(Y$31=0,Assumptions!$C$6,Assumptions!$C$6+$C$6+IF(Y$31&gt;=5,$C$7,0))</f>
        <v>0.025</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0.09</v>
      </c>
      <c r="O37" s="33" t="n">
        <f aca="false">IF(AND(O$31&gt;=5,O$31&lt;=8),$C$18,$C$17)</f>
        <v>0.09</v>
      </c>
      <c r="P37" s="33" t="n">
        <f aca="false">IF(AND(P$31&gt;=5,P$31&lt;=8),$C$18,$C$17)</f>
        <v>0.09</v>
      </c>
      <c r="Q37" s="33" t="n">
        <f aca="false">IF(AND(Q$31&gt;=5,Q$31&lt;=8),$C$18,$C$17)</f>
        <v>0.09</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0.45</v>
      </c>
      <c r="O38" s="22" t="n">
        <f aca="false">IF(AND(O$31&gt;=5,O$31&lt;=8),$C$19,Assumptions!$C$45)</f>
        <v>0.45</v>
      </c>
      <c r="P38" s="22" t="n">
        <f aca="false">IF(AND(P$31&gt;=5,P$31&lt;=8),$C$19,Assumptions!$C$45)</f>
        <v>0.45</v>
      </c>
      <c r="Q38" s="22" t="n">
        <f aca="false">IF(AND(Q$31&gt;=5,Q$31&lt;=8),$C$19,Assumptions!$C$45)</f>
        <v>0.45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0.127403438698662</v>
      </c>
      <c r="O39" s="42" t="n">
        <f aca="false">N40*(O32+Assumptions!$C$42-Assumptions!$C$43)/4</f>
        <v>0.126113478881838</v>
      </c>
      <c r="P39" s="42" t="n">
        <f aca="false">O40*(P32+Assumptions!$C$42-Assumptions!$C$43)/4</f>
        <v>0.124836579908159</v>
      </c>
      <c r="Q39" s="42" t="n">
        <f aca="false">P40*(Q32+Assumptions!$C$42-Assumptions!$C$43)/4</f>
        <v>0.123572609536589</v>
      </c>
      <c r="R39" s="42" t="n">
        <f aca="false">Q40*(R32+Assumptions!$C$42-Assumptions!$C$43)/4</f>
        <v>0.122321436865031</v>
      </c>
      <c r="S39" s="42" t="n">
        <f aca="false">R40*(S32+Assumptions!$C$42-Assumptions!$C$43)/4</f>
        <v>0.122000343093261</v>
      </c>
      <c r="T39" s="42" t="n">
        <f aca="false">S40*(T32+Assumptions!$C$42-Assumptions!$C$43)/4</f>
        <v>0.121680092192641</v>
      </c>
      <c r="U39" s="42" t="n">
        <f aca="false">T40*(U32+Assumptions!$C$42-Assumptions!$C$43)/4</f>
        <v>0.121360681950635</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9.79522166072529</v>
      </c>
      <c r="O40" s="36" t="n">
        <f aca="false">N40*(1-O37*O38/4)</f>
        <v>9.69604504141044</v>
      </c>
      <c r="P40" s="36" t="n">
        <f aca="false">O40*(1-P37*P38/4)</f>
        <v>9.59787258536616</v>
      </c>
      <c r="Q40" s="36" t="n">
        <f aca="false">P40*(1-Q37*Q38/4)</f>
        <v>9.50069412543933</v>
      </c>
      <c r="R40" s="36" t="n">
        <f aca="false">Q40*(1-R37*R38/4)</f>
        <v>9.47575480336005</v>
      </c>
      <c r="S40" s="36" t="n">
        <f aca="false">R40*(1-S37*S38/4)</f>
        <v>9.45088094700123</v>
      </c>
      <c r="T40" s="36" t="n">
        <f aca="false">S40*(1-T37*T38/4)</f>
        <v>9.42607238451535</v>
      </c>
      <c r="U40" s="36" t="n">
        <f aca="false">T40*(1-U37*U38/4)</f>
        <v>9.401328944506</v>
      </c>
    </row>
    <row r="41" customFormat="false" ht="15" hidden="false" customHeight="false" outlineLevel="0" collapsed="false">
      <c r="B41" s="9" t="s">
        <v>213</v>
      </c>
      <c r="C41" s="26" t="n">
        <f aca="false">$C$35*SUM(J39:U39)</f>
        <v>12387.56102164</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0.042</v>
      </c>
      <c r="O46" s="33" t="n">
        <f aca="false">IF(O$31&lt;=4,Assumptions!$C$60,IF(O$31&lt;=8,Assumptions!$C$61,Assumptions!$C$62))+IF(O$31&gt;=5,$C$21,0)</f>
        <v>0.042</v>
      </c>
      <c r="P46" s="33" t="n">
        <f aca="false">IF(P$31&lt;=4,Assumptions!$C$60,IF(P$31&lt;=8,Assumptions!$C$61,Assumptions!$C$62))+IF(P$31&gt;=5,$C$21,0)</f>
        <v>0.042</v>
      </c>
      <c r="Q46" s="33" t="n">
        <f aca="false">IF(Q$31&lt;=4,Assumptions!$C$60,IF(Q$31&lt;=8,Assumptions!$C$61,Assumptions!$C$62))+IF(Q$31&gt;=5,$C$21,0)</f>
        <v>0.042</v>
      </c>
      <c r="R46" s="33" t="n">
        <f aca="false">IF(R$31&lt;=4,Assumptions!$C$60,IF(R$31&lt;=8,Assumptions!$C$61,Assumptions!$C$62))+IF(R$31&gt;=5,$C$21,0)</f>
        <v>0.042</v>
      </c>
      <c r="S46" s="33" t="n">
        <f aca="false">IF(S$31&lt;=4,Assumptions!$C$60,IF(S$31&lt;=8,Assumptions!$C$61,Assumptions!$C$62))+IF(S$31&gt;=5,$C$21,0)</f>
        <v>0.042</v>
      </c>
      <c r="T46" s="33" t="n">
        <f aca="false">IF(T$31&lt;=4,Assumptions!$C$60,IF(T$31&lt;=8,Assumptions!$C$61,Assumptions!$C$62))+IF(T$31&gt;=5,$C$21,0)</f>
        <v>0.042</v>
      </c>
      <c r="U46" s="33" t="n">
        <f aca="false">IF(U$31&lt;=4,Assumptions!$C$60,IF(U$31&lt;=8,Assumptions!$C$61,Assumptions!$C$62))+IF(U$31&gt;=5,$C$21,0)</f>
        <v>0.042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0.094</v>
      </c>
      <c r="O47" s="17" t="n">
        <f aca="false">O32+Assumptions!$C$53</f>
        <v>0.094</v>
      </c>
      <c r="P47" s="17" t="n">
        <f aca="false">P32+Assumptions!$C$53</f>
        <v>0.094</v>
      </c>
      <c r="Q47" s="17" t="n">
        <f aca="false">Q32+Assumptions!$C$53</f>
        <v>0.094</v>
      </c>
      <c r="R47" s="17" t="n">
        <f aca="false">R32+Assumptions!$C$53</f>
        <v>0.094</v>
      </c>
      <c r="S47" s="17" t="n">
        <f aca="false">S32+Assumptions!$C$53</f>
        <v>0.094</v>
      </c>
      <c r="T47" s="17" t="n">
        <f aca="false">T32+Assumptions!$C$53</f>
        <v>0.094</v>
      </c>
      <c r="U47" s="17" t="n">
        <f aca="false">U32+Assumptions!$C$53</f>
        <v>0.094</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0.0826092</v>
      </c>
      <c r="O48" s="17" t="n">
        <f aca="false">O47*(1-O46)*(1+Assumptions!$C$54)-Assumptions!$C$55*Assumptions!$C$54-Assumptions!$C$56*(1+Assumptions!$C$54)-Assumptions!$C$57</f>
        <v>0.0826092</v>
      </c>
      <c r="P48" s="17" t="n">
        <f aca="false">P47*(1-P46)*(1+Assumptions!$C$54)-Assumptions!$C$55*Assumptions!$C$54-Assumptions!$C$56*(1+Assumptions!$C$54)-Assumptions!$C$57</f>
        <v>0.0826092</v>
      </c>
      <c r="Q48" s="17" t="n">
        <f aca="false">Q47*(1-Q46)*(1+Assumptions!$C$54)-Assumptions!$C$55*Assumptions!$C$54-Assumptions!$C$56*(1+Assumptions!$C$54)-Assumptions!$C$57</f>
        <v>0.0826092</v>
      </c>
      <c r="R48" s="17" t="n">
        <f aca="false">R47*(1-R46)*(1+Assumptions!$C$54)-Assumptions!$C$55*Assumptions!$C$54-Assumptions!$C$56*(1+Assumptions!$C$54)-Assumptions!$C$57</f>
        <v>0.0826092</v>
      </c>
      <c r="S48" s="17" t="n">
        <f aca="false">S47*(1-S46)*(1+Assumptions!$C$54)-Assumptions!$C$55*Assumptions!$C$54-Assumptions!$C$56*(1+Assumptions!$C$54)-Assumptions!$C$57</f>
        <v>0.0826092</v>
      </c>
      <c r="T48" s="17" t="n">
        <f aca="false">T47*(1-T46)*(1+Assumptions!$C$54)-Assumptions!$C$55*Assumptions!$C$54-Assumptions!$C$56*(1+Assumptions!$C$54)-Assumptions!$C$57</f>
        <v>0.0826092</v>
      </c>
      <c r="U48" s="17" t="n">
        <f aca="false">U47*(1-U46)*(1+Assumptions!$C$54)-Assumptions!$C$55*Assumptions!$C$54-Assumptions!$C$56*(1+Assumptions!$C$54)-Assumptions!$C$57</f>
        <v>0.0826092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0.06815259</v>
      </c>
      <c r="O49" s="17" t="n">
        <f aca="false">O48*(1-Assumptions!$C$58)</f>
        <v>0.06815259</v>
      </c>
      <c r="P49" s="17" t="n">
        <f aca="false">P48*(1-Assumptions!$C$58)</f>
        <v>0.06815259</v>
      </c>
      <c r="Q49" s="17" t="n">
        <f aca="false">Q48*(1-Assumptions!$C$58)</f>
        <v>0.06815259</v>
      </c>
      <c r="R49" s="17" t="n">
        <f aca="false">R48*(1-Assumptions!$C$58)</f>
        <v>0.06815259</v>
      </c>
      <c r="S49" s="17" t="n">
        <f aca="false">S48*(1-Assumptions!$C$58)</f>
        <v>0.06815259</v>
      </c>
      <c r="T49" s="17" t="n">
        <f aca="false">T48*(1-Assumptions!$C$58)</f>
        <v>0.06815259</v>
      </c>
      <c r="U49" s="17" t="n">
        <f aca="false">U48*(1-Assumptions!$C$58)</f>
        <v>0.06815259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0.339736728524892</v>
      </c>
      <c r="O50" s="36" t="n">
        <f aca="false">N53*O49/4</f>
        <v>0.335818086938305</v>
      </c>
      <c r="P50" s="36" t="n">
        <f aca="false">O53*P49/4</f>
        <v>0.331850312845505</v>
      </c>
      <c r="Q50" s="36" t="n">
        <f aca="false">P53*Q49/4</f>
        <v>0.328855079065883</v>
      </c>
      <c r="R50" s="36" t="n">
        <f aca="false">Q53*R49/4</f>
        <v>0.325822290603335</v>
      </c>
      <c r="S50" s="36" t="n">
        <f aca="false">R53*S49/4</f>
        <v>0.323728943463517</v>
      </c>
      <c r="T50" s="36" t="n">
        <f aca="false">S53*T49/4</f>
        <v>0.321603069587073</v>
      </c>
      <c r="U50" s="36" t="n">
        <f aca="false">T53*U49/4</f>
        <v>0.319444163568769</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0.42</v>
      </c>
      <c r="Q51" s="19" t="n">
        <f aca="false">IF(ISNUMBER($C$23),IF(Q$31&gt;=$C$23,$D$23,IF(ISNUMBER(Assumptions!$C$63),IF(Q$31&gt;=Assumptions!$C$63,Assumptions!$C$64,Assumptions!$C$52),Assumptions!$C$52)),IF(ISNUMBER(Assumptions!$C$63),IF(Q$31&gt;=Assumptions!$C$63,Assumptions!$C$64,Assumptions!$C$52),Assumptions!$C$52))</f>
        <v>0.42</v>
      </c>
      <c r="R51" s="19" t="n">
        <f aca="false">IF(ISNUMBER($C$23),IF(R$31&gt;=$C$23,$D$23,IF(ISNUMBER(Assumptions!$C$63),IF(R$31&gt;=Assumptions!$C$63,Assumptions!$C$64,Assumptions!$C$52),Assumptions!$C$52)),IF(ISNUMBER(Assumptions!$C$63),IF(R$31&gt;=Assumptions!$C$63,Assumptions!$C$64,Assumptions!$C$52),Assumptions!$C$52))</f>
        <v>0.42</v>
      </c>
      <c r="S51" s="19" t="n">
        <f aca="false">IF(ISNUMBER($C$23),IF(S$31&gt;=$C$23,$D$23,IF(ISNUMBER(Assumptions!$C$63),IF(S$31&gt;=Assumptions!$C$63,Assumptions!$C$64,Assumptions!$C$52),Assumptions!$C$52)),IF(ISNUMBER(Assumptions!$C$63),IF(S$31&gt;=Assumptions!$C$63,Assumptions!$C$64,Assumptions!$C$52),Assumptions!$C$52))</f>
        <v>0.42</v>
      </c>
      <c r="T51" s="19" t="n">
        <f aca="false">IF(ISNUMBER($C$23),IF(T$31&gt;=$C$23,$D$23,IF(ISNUMBER(Assumptions!$C$63),IF(T$31&gt;=Assumptions!$C$63,Assumptions!$C$64,Assumptions!$C$52),Assumptions!$C$52)),IF(ISNUMBER(Assumptions!$C$63),IF(T$31&gt;=Assumptions!$C$63,Assumptions!$C$64,Assumptions!$C$52),Assumptions!$C$52))</f>
        <v>0.42</v>
      </c>
      <c r="U51" s="19" t="n">
        <f aca="false">IF(ISNUMBER($C$23),IF(U$31&gt;=$C$23,$D$23,IF(ISNUMBER(Assumptions!$C$63),IF(U$31&gt;=Assumptions!$C$63,Assumptions!$C$64,Assumptions!$C$52),Assumptions!$C$52)),IF(ISNUMBER(Assumptions!$C$63),IF(U$31&gt;=Assumptions!$C$63,Assumptions!$C$64,Assumptions!$C$52),Assumptions!$C$52))</f>
        <v>0.42</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0.018</v>
      </c>
      <c r="O52" s="17" t="n">
        <f aca="false">Assumptions!$C$59*IF(AND(O$31&gt;=5,O$31&lt;=8),$C$20,1)</f>
        <v>0.018</v>
      </c>
      <c r="P52" s="17" t="n">
        <f aca="false">Assumptions!$C$59*IF(AND(P$31&gt;=5,P$31&lt;=8),$C$20,1)</f>
        <v>0.018</v>
      </c>
      <c r="Q52" s="17" t="n">
        <f aca="false">Assumptions!$C$59*IF(AND(Q$31&gt;=5,Q$31&lt;=8),$C$20,1)</f>
        <v>0.018</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19.7097769542319</v>
      </c>
      <c r="O53" s="36" t="n">
        <f aca="false">N53+O50-O51-N53*O52/4</f>
        <v>19.4769010448762</v>
      </c>
      <c r="P53" s="36" t="n">
        <f aca="false">O53+P50-P51-O53*P52/4</f>
        <v>19.3011053030198</v>
      </c>
      <c r="Q53" s="36" t="n">
        <f aca="false">P53+Q50-Q51-P53*Q52/4</f>
        <v>19.1231054082221</v>
      </c>
      <c r="R53" s="36" t="n">
        <f aca="false">Q53+R50-R51-Q53*R52/4</f>
        <v>19.0002430407131</v>
      </c>
      <c r="S53" s="36" t="n">
        <f aca="false">R53+S50-S51-R53*S52/4</f>
        <v>18.8754716196155</v>
      </c>
      <c r="T53" s="36" t="n">
        <f aca="false">S53+T50-T51-S53*T52/4</f>
        <v>18.7487614817731</v>
      </c>
      <c r="U53" s="36" t="n">
        <f aca="false">T53+U50-U51-T53*U52/4</f>
        <v>18.6200825031193</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0.707784851093525</v>
      </c>
      <c r="O54" s="22" t="n">
        <f aca="false">O50/O51</f>
        <v>0.699621014454801</v>
      </c>
      <c r="P54" s="22" t="n">
        <f aca="false">P50/P51</f>
        <v>0.790119792489297</v>
      </c>
      <c r="Q54" s="22" t="n">
        <f aca="false">Q50/Q51</f>
        <v>0.782988283490197</v>
      </c>
      <c r="R54" s="22" t="n">
        <f aca="false">R50/R51</f>
        <v>0.775767358579369</v>
      </c>
      <c r="S54" s="22" t="n">
        <f aca="false">S50/S51</f>
        <v>0.770783198722661</v>
      </c>
      <c r="T54" s="22" t="n">
        <f aca="false">T50/T51</f>
        <v>0.765721594254935</v>
      </c>
      <c r="U54" s="22" t="n">
        <f aca="false">U50/U51</f>
        <v>0.760581341830403</v>
      </c>
    </row>
    <row r="55" customFormat="false" ht="15" hidden="false" customHeight="false" outlineLevel="0" collapsed="false">
      <c r="B55" s="9" t="s">
        <v>225</v>
      </c>
      <c r="C55" s="36" t="n">
        <f aca="false">U53*(1+$E$23)</f>
        <v>15.8270701276514</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0.038</v>
      </c>
      <c r="O60" s="33" t="n">
        <f aca="false">IF(O$31&lt;=4,Assumptions!$D$60,IF(O$31&lt;=8,Assumptions!$D$61,Assumptions!$D$62))+IF(O$31&gt;=5,$C$21,0)</f>
        <v>0.038</v>
      </c>
      <c r="P60" s="33" t="n">
        <f aca="false">IF(P$31&lt;=4,Assumptions!$D$60,IF(P$31&lt;=8,Assumptions!$D$61,Assumptions!$D$62))+IF(P$31&gt;=5,$C$21,0)</f>
        <v>0.038</v>
      </c>
      <c r="Q60" s="33" t="n">
        <f aca="false">IF(Q$31&lt;=4,Assumptions!$D$60,IF(Q$31&lt;=8,Assumptions!$D$61,Assumptions!$D$62))+IF(Q$31&gt;=5,$C$21,0)</f>
        <v>0.038</v>
      </c>
      <c r="R60" s="33" t="n">
        <f aca="false">IF(R$31&lt;=4,Assumptions!$D$60,IF(R$31&lt;=8,Assumptions!$D$61,Assumptions!$D$62))+IF(R$31&gt;=5,$C$21,0)</f>
        <v>0.04</v>
      </c>
      <c r="S60" s="33" t="n">
        <f aca="false">IF(S$31&lt;=4,Assumptions!$D$60,IF(S$31&lt;=8,Assumptions!$D$61,Assumptions!$D$62))+IF(S$31&gt;=5,$C$21,0)</f>
        <v>0.04</v>
      </c>
      <c r="T60" s="33" t="n">
        <f aca="false">IF(T$31&lt;=4,Assumptions!$D$60,IF(T$31&lt;=8,Assumptions!$D$61,Assumptions!$D$62))+IF(T$31&gt;=5,$C$21,0)</f>
        <v>0.04</v>
      </c>
      <c r="U60" s="33" t="n">
        <f aca="false">IF(U$31&lt;=4,Assumptions!$D$60,IF(U$31&lt;=8,Assumptions!$D$61,Assumptions!$D$62))+IF(U$31&gt;=5,$C$21,0)</f>
        <v>0.04</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0.085</v>
      </c>
      <c r="O61" s="17" t="n">
        <f aca="false">O32+Assumptions!$D$53</f>
        <v>0.085</v>
      </c>
      <c r="P61" s="17" t="n">
        <f aca="false">P32+Assumptions!$D$53</f>
        <v>0.085</v>
      </c>
      <c r="Q61" s="17" t="n">
        <f aca="false">Q32+Assumptions!$D$53</f>
        <v>0.085</v>
      </c>
      <c r="R61" s="17" t="n">
        <f aca="false">R32+Assumptions!$D$53</f>
        <v>0.085</v>
      </c>
      <c r="S61" s="17" t="n">
        <f aca="false">S32+Assumptions!$D$53</f>
        <v>0.085</v>
      </c>
      <c r="T61" s="17" t="n">
        <f aca="false">T32+Assumptions!$D$53</f>
        <v>0.085</v>
      </c>
      <c r="U61" s="17" t="n">
        <f aca="false">U32+Assumptions!$D$53</f>
        <v>0.085</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0.08554</v>
      </c>
      <c r="O62" s="17" t="n">
        <f aca="false">O61*(1-O60)*(1+Assumptions!$D$54)-Assumptions!$D$55*Assumptions!$D$54-Assumptions!$D$56*(1+Assumptions!$D$54)-Assumptions!$D$57</f>
        <v>0.08554</v>
      </c>
      <c r="P62" s="17" t="n">
        <f aca="false">P61*(1-P60)*(1+Assumptions!$D$54)-Assumptions!$D$55*Assumptions!$D$54-Assumptions!$D$56*(1+Assumptions!$D$54)-Assumptions!$D$57</f>
        <v>0.08554</v>
      </c>
      <c r="Q62" s="17" t="n">
        <f aca="false">Q61*(1-Q60)*(1+Assumptions!$D$54)-Assumptions!$D$55*Assumptions!$D$54-Assumptions!$D$56*(1+Assumptions!$D$54)-Assumptions!$D$57</f>
        <v>0.08554</v>
      </c>
      <c r="R62" s="17" t="n">
        <f aca="false">R61*(1-R60)*(1+Assumptions!$D$54)-Assumptions!$D$55*Assumptions!$D$54-Assumptions!$D$56*(1+Assumptions!$D$54)-Assumptions!$D$57</f>
        <v>0.0852</v>
      </c>
      <c r="S62" s="17" t="n">
        <f aca="false">S61*(1-S60)*(1+Assumptions!$D$54)-Assumptions!$D$55*Assumptions!$D$54-Assumptions!$D$56*(1+Assumptions!$D$54)-Assumptions!$D$57</f>
        <v>0.0852</v>
      </c>
      <c r="T62" s="17" t="n">
        <f aca="false">T61*(1-T60)*(1+Assumptions!$D$54)-Assumptions!$D$55*Assumptions!$D$54-Assumptions!$D$56*(1+Assumptions!$D$54)-Assumptions!$D$57</f>
        <v>0.0852</v>
      </c>
      <c r="U62" s="17" t="n">
        <f aca="false">U61*(1-U60)*(1+Assumptions!$D$54)-Assumptions!$D$55*Assumptions!$D$54-Assumptions!$D$56*(1+Assumptions!$D$54)-Assumptions!$D$57</f>
        <v>0.0852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0.08554</v>
      </c>
      <c r="O63" s="17" t="n">
        <f aca="false">O62*(1-Assumptions!$D$58)</f>
        <v>0.08554</v>
      </c>
      <c r="P63" s="17" t="n">
        <f aca="false">P62*(1-Assumptions!$D$58)</f>
        <v>0.08554</v>
      </c>
      <c r="Q63" s="17" t="n">
        <f aca="false">Q62*(1-Assumptions!$D$58)</f>
        <v>0.08554</v>
      </c>
      <c r="R63" s="17" t="n">
        <f aca="false">R62*(1-Assumptions!$D$58)</f>
        <v>0.0852</v>
      </c>
      <c r="S63" s="17" t="n">
        <f aca="false">S62*(1-Assumptions!$D$58)</f>
        <v>0.0852</v>
      </c>
      <c r="T63" s="17" t="n">
        <f aca="false">T62*(1-Assumptions!$D$58)</f>
        <v>0.0852</v>
      </c>
      <c r="U63" s="17" t="n">
        <f aca="false">U62*(1-Assumptions!$D$58)</f>
        <v>0.0852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0.299738322470109</v>
      </c>
      <c r="O64" s="36" t="n">
        <f aca="false">N67*O63/4</f>
        <v>0.296470207786869</v>
      </c>
      <c r="P64" s="36" t="n">
        <f aca="false">O67*P63/4</f>
        <v>0.293144459901191</v>
      </c>
      <c r="Q64" s="36" t="n">
        <f aca="false">P67*Q63/4</f>
        <v>0.290615462451548</v>
      </c>
      <c r="R64" s="36" t="n">
        <f aca="false">Q67*R63/4</f>
        <v>0.286896972111717</v>
      </c>
      <c r="S64" s="36" t="n">
        <f aca="false">R67*S63/4</f>
        <v>0.284981256402557</v>
      </c>
      <c r="T64" s="36" t="n">
        <f aca="false">S67*T63/4</f>
        <v>0.283027130593428</v>
      </c>
      <c r="U64" s="36" t="n">
        <f aca="false">T67*U63/4</f>
        <v>0.281033824561826</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0.36</v>
      </c>
      <c r="Q65" s="19" t="n">
        <f aca="false">IF(ISNUMBER($C$24),IF(Q$31&gt;=$C$24,$D$24,IF(ISNUMBER(Assumptions!$D$63),IF(Q$31&gt;=Assumptions!$D$63,Assumptions!$D$64,Assumptions!$D$52),Assumptions!$D$52)),IF(ISNUMBER(Assumptions!$D$63),IF(Q$31&gt;=Assumptions!$D$63,Assumptions!$D$64,Assumptions!$D$52),Assumptions!$D$52))</f>
        <v>0.36</v>
      </c>
      <c r="R65" s="19" t="n">
        <f aca="false">IF(ISNUMBER($C$24),IF(R$31&gt;=$C$24,$D$24,IF(ISNUMBER(Assumptions!$D$63),IF(R$31&gt;=Assumptions!$D$63,Assumptions!$D$64,Assumptions!$D$52),Assumptions!$D$52)),IF(ISNUMBER(Assumptions!$D$63),IF(R$31&gt;=Assumptions!$D$63,Assumptions!$D$64,Assumptions!$D$52),Assumptions!$D$52))</f>
        <v>0.36</v>
      </c>
      <c r="S65" s="19" t="n">
        <f aca="false">IF(ISNUMBER($C$24),IF(S$31&gt;=$C$24,$D$24,IF(ISNUMBER(Assumptions!$D$63),IF(S$31&gt;=Assumptions!$D$63,Assumptions!$D$64,Assumptions!$D$52),Assumptions!$D$52)),IF(ISNUMBER(Assumptions!$D$63),IF(S$31&gt;=Assumptions!$D$63,Assumptions!$D$64,Assumptions!$D$52),Assumptions!$D$52))</f>
        <v>0.36</v>
      </c>
      <c r="T65" s="19" t="n">
        <f aca="false">IF(ISNUMBER($C$24),IF(T$31&gt;=$C$24,$D$24,IF(ISNUMBER(Assumptions!$D$63),IF(T$31&gt;=Assumptions!$D$63,Assumptions!$D$64,Assumptions!$D$52),Assumptions!$D$52)),IF(ISNUMBER(Assumptions!$D$63),IF(T$31&gt;=Assumptions!$D$63,Assumptions!$D$64,Assumptions!$D$52),Assumptions!$D$52))</f>
        <v>0.36</v>
      </c>
      <c r="U65" s="19" t="n">
        <f aca="false">IF(ISNUMBER($C$24),IF(U$31&gt;=$C$24,$D$24,IF(ISNUMBER(Assumptions!$D$63),IF(U$31&gt;=Assumptions!$D$63,Assumptions!$D$64,Assumptions!$D$52),Assumptions!$D$52)),IF(ISNUMBER(Assumptions!$D$63),IF(U$31&gt;=Assumptions!$D$63,Assumptions!$D$64,Assumptions!$D$52),Assumptions!$D$52))</f>
        <v>0.36</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0.015</v>
      </c>
      <c r="O66" s="17" t="n">
        <f aca="false">Assumptions!$D$59*IF(AND(O$31&gt;=5,O$31&lt;=8),$C$20,1)</f>
        <v>0.015</v>
      </c>
      <c r="P66" s="17" t="n">
        <f aca="false">Assumptions!$D$59*IF(AND(P$31&gt;=5,P$31&lt;=8),$C$20,1)</f>
        <v>0.015</v>
      </c>
      <c r="Q66" s="17" t="n">
        <f aca="false">Assumptions!$D$59*IF(AND(Q$31&gt;=5,Q$31&lt;=8),$C$20,1)</f>
        <v>0.015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13.8634654097203</v>
      </c>
      <c r="O67" s="36" t="n">
        <f aca="false">N67+O64-O65-N67*O66/4</f>
        <v>13.7079476222207</v>
      </c>
      <c r="P67" s="36" t="n">
        <f aca="false">O67+P64-P65-O67*P66/4</f>
        <v>13.5896872785386</v>
      </c>
      <c r="Q67" s="36" t="n">
        <f aca="false">P67+Q64-Q65-P67*Q66/4</f>
        <v>13.4693414136956</v>
      </c>
      <c r="R67" s="36" t="n">
        <f aca="false">Q67+R64-R65-Q67*R66/4</f>
        <v>13.3794017090402</v>
      </c>
      <c r="S67" s="36" t="n">
        <f aca="false">R67+S64-S65-R67*S66/4</f>
        <v>13.2876587133065</v>
      </c>
      <c r="T67" s="36" t="n">
        <f aca="false">S67+T64-T65-S67*T66/4</f>
        <v>13.1940762705083</v>
      </c>
      <c r="U67" s="36" t="n">
        <f aca="false">T67+U64-U65-T67*U66/4</f>
        <v>13.098617499732</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0.749345806175272</v>
      </c>
      <c r="O68" s="22" t="n">
        <f aca="false">O64/O65</f>
        <v>0.741175519467173</v>
      </c>
      <c r="P68" s="22" t="n">
        <f aca="false">P64/P65</f>
        <v>0.814290166392196</v>
      </c>
      <c r="Q68" s="22" t="n">
        <f aca="false">Q64/Q65</f>
        <v>0.807265173476523</v>
      </c>
      <c r="R68" s="22" t="n">
        <f aca="false">R64/R65</f>
        <v>0.796936033643658</v>
      </c>
      <c r="S68" s="22" t="n">
        <f aca="false">S64/S65</f>
        <v>0.791614601118214</v>
      </c>
      <c r="T68" s="22" t="n">
        <f aca="false">T64/T65</f>
        <v>0.786186473870634</v>
      </c>
      <c r="U68" s="22" t="n">
        <f aca="false">U64/U65</f>
        <v>0.78064951267174</v>
      </c>
    </row>
    <row r="69" customFormat="false" ht="15" hidden="false" customHeight="false" outlineLevel="0" collapsed="false">
      <c r="B69" s="9" t="s">
        <v>225</v>
      </c>
      <c r="C69" s="36" t="n">
        <f aca="false">U67*(1+$E$24)</f>
        <v>11.7887557497588</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0.1</v>
      </c>
      <c r="O74" s="33" t="n">
        <f aca="false">IF(O$31&lt;=4,Assumptions!$E$60,IF(O$31&lt;=8,Assumptions!$E$61,Assumptions!$E$62))+IF(O$31&gt;=5,$C$21,0)</f>
        <v>0.1</v>
      </c>
      <c r="P74" s="33" t="n">
        <f aca="false">IF(P$31&lt;=4,Assumptions!$E$60,IF(P$31&lt;=8,Assumptions!$E$61,Assumptions!$E$62))+IF(P$31&gt;=5,$C$21,0)</f>
        <v>0.1</v>
      </c>
      <c r="Q74" s="33" t="n">
        <f aca="false">IF(Q$31&lt;=4,Assumptions!$E$60,IF(Q$31&lt;=8,Assumptions!$E$61,Assumptions!$E$62))+IF(Q$31&gt;=5,$C$21,0)</f>
        <v>0.1</v>
      </c>
      <c r="R74" s="33" t="n">
        <f aca="false">IF(R$31&lt;=4,Assumptions!$E$60,IF(R$31&lt;=8,Assumptions!$E$61,Assumptions!$E$62))+IF(R$31&gt;=5,$C$21,0)</f>
        <v>0.12</v>
      </c>
      <c r="S74" s="33" t="n">
        <f aca="false">IF(S$31&lt;=4,Assumptions!$E$60,IF(S$31&lt;=8,Assumptions!$E$61,Assumptions!$E$62))+IF(S$31&gt;=5,$C$21,0)</f>
        <v>0.12</v>
      </c>
      <c r="T74" s="33" t="n">
        <f aca="false">IF(T$31&lt;=4,Assumptions!$E$60,IF(T$31&lt;=8,Assumptions!$E$61,Assumptions!$E$62))+IF(T$31&gt;=5,$C$21,0)</f>
        <v>0.12</v>
      </c>
      <c r="U74" s="33" t="n">
        <f aca="false">IF(U$31&lt;=4,Assumptions!$E$60,IF(U$31&lt;=8,Assumptions!$E$61,Assumptions!$E$62))+IF(U$31&gt;=5,$C$21,0)</f>
        <v>0.12</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0.108</v>
      </c>
      <c r="O75" s="17" t="n">
        <f aca="false">O32+Assumptions!$E$53</f>
        <v>0.108</v>
      </c>
      <c r="P75" s="17" t="n">
        <f aca="false">P32+Assumptions!$E$53</f>
        <v>0.108</v>
      </c>
      <c r="Q75" s="17" t="n">
        <f aca="false">Q32+Assumptions!$E$53</f>
        <v>0.108</v>
      </c>
      <c r="R75" s="17" t="n">
        <f aca="false">R32+Assumptions!$E$53</f>
        <v>0.108</v>
      </c>
      <c r="S75" s="17" t="n">
        <f aca="false">S32+Assumptions!$E$53</f>
        <v>0.108</v>
      </c>
      <c r="T75" s="17" t="n">
        <f aca="false">T32+Assumptions!$E$53</f>
        <v>0.108</v>
      </c>
      <c r="U75" s="17" t="n">
        <f aca="false">U32+Assumptions!$E$53</f>
        <v>0.108</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0.084495</v>
      </c>
      <c r="O76" s="17" t="n">
        <f aca="false">O75*(1-O74)*(1+Assumptions!$E$54)-Assumptions!$E$55*Assumptions!$E$54-Assumptions!$E$56*(1+Assumptions!$E$54)-Assumptions!$E$57</f>
        <v>0.084495</v>
      </c>
      <c r="P76" s="17" t="n">
        <f aca="false">P75*(1-P74)*(1+Assumptions!$E$54)-Assumptions!$E$55*Assumptions!$E$54-Assumptions!$E$56*(1+Assumptions!$E$54)-Assumptions!$E$57</f>
        <v>0.084495</v>
      </c>
      <c r="Q76" s="17" t="n">
        <f aca="false">Q75*(1-Q74)*(1+Assumptions!$E$54)-Assumptions!$E$55*Assumptions!$E$54-Assumptions!$E$56*(1+Assumptions!$E$54)-Assumptions!$E$57</f>
        <v>0.084495</v>
      </c>
      <c r="R76" s="17" t="n">
        <f aca="false">R75*(1-R74)*(1+Assumptions!$E$54)-Assumptions!$E$55*Assumptions!$E$54-Assumptions!$E$56*(1+Assumptions!$E$54)-Assumptions!$E$57</f>
        <v>0.0794190000000001</v>
      </c>
      <c r="S76" s="17" t="n">
        <f aca="false">S75*(1-S74)*(1+Assumptions!$E$54)-Assumptions!$E$55*Assumptions!$E$54-Assumptions!$E$56*(1+Assumptions!$E$54)-Assumptions!$E$57</f>
        <v>0.0794190000000001</v>
      </c>
      <c r="T76" s="17" t="n">
        <f aca="false">T75*(1-T74)*(1+Assumptions!$E$54)-Assumptions!$E$55*Assumptions!$E$54-Assumptions!$E$56*(1+Assumptions!$E$54)-Assumptions!$E$57</f>
        <v>0.0794190000000001</v>
      </c>
      <c r="U76" s="17" t="n">
        <f aca="false">U75*(1-U74)*(1+Assumptions!$E$54)-Assumptions!$E$55*Assumptions!$E$54-Assumptions!$E$56*(1+Assumptions!$E$54)-Assumptions!$E$57</f>
        <v>0.0794190000000001</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0.067596</v>
      </c>
      <c r="O77" s="17" t="n">
        <f aca="false">O76*(1-Assumptions!$E$58)</f>
        <v>0.067596</v>
      </c>
      <c r="P77" s="17" t="n">
        <f aca="false">P76*(1-Assumptions!$E$58)</f>
        <v>0.067596</v>
      </c>
      <c r="Q77" s="17" t="n">
        <f aca="false">Q76*(1-Assumptions!$E$58)</f>
        <v>0.067596</v>
      </c>
      <c r="R77" s="17" t="n">
        <f aca="false">R76*(1-Assumptions!$E$58)</f>
        <v>0.0635352</v>
      </c>
      <c r="S77" s="17" t="n">
        <f aca="false">S76*(1-Assumptions!$E$58)</f>
        <v>0.0635352</v>
      </c>
      <c r="T77" s="17" t="n">
        <f aca="false">T76*(1-Assumptions!$E$58)</f>
        <v>0.0635352</v>
      </c>
      <c r="U77" s="17" t="n">
        <f aca="false">U76*(1-Assumptions!$E$58)</f>
        <v>0.0635352</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0.181231034434051</v>
      </c>
      <c r="O78" s="36" t="n">
        <f aca="false">N81*O77/4</f>
        <v>0.173959673031058</v>
      </c>
      <c r="P78" s="36" t="n">
        <f aca="false">O81*P77/4</f>
        <v>0.169291156128545</v>
      </c>
      <c r="Q78" s="36" t="n">
        <f aca="false">P81*Q77/4</f>
        <v>0.164666294527587</v>
      </c>
      <c r="R78" s="36" t="n">
        <f aca="false">Q81*R77/4</f>
        <v>0.150467663193235</v>
      </c>
      <c r="S78" s="36" t="n">
        <f aca="false">R81*S77/4</f>
        <v>0.148681985408923</v>
      </c>
      <c r="T78" s="36" t="n">
        <f aca="false">S81*T77/4</f>
        <v>0.146883568956433</v>
      </c>
      <c r="U78" s="36" t="n">
        <f aca="false">T81*U77/4</f>
        <v>0.145072322960655</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0.18</v>
      </c>
      <c r="P79" s="19" t="n">
        <f aca="false">IF(ISNUMBER($C$25),IF(P$31&gt;=$C$25,$D$25,IF(ISNUMBER(Assumptions!$E$63),IF(P$31&gt;=Assumptions!$E$63,Assumptions!$E$64,Assumptions!$E$52),Assumptions!$E$52)),IF(ISNUMBER(Assumptions!$E$63),IF(P$31&gt;=Assumptions!$E$63,Assumptions!$E$64,Assumptions!$E$52),Assumptions!$E$52))</f>
        <v>0.18</v>
      </c>
      <c r="Q79" s="19" t="n">
        <f aca="false">IF(ISNUMBER($C$25),IF(Q$31&gt;=$C$25,$D$25,IF(ISNUMBER(Assumptions!$E$63),IF(Q$31&gt;=Assumptions!$E$63,Assumptions!$E$64,Assumptions!$E$52),Assumptions!$E$52)),IF(ISNUMBER(Assumptions!$E$63),IF(Q$31&gt;=Assumptions!$E$63,Assumptions!$E$64,Assumptions!$E$52),Assumptions!$E$52))</f>
        <v>0.18</v>
      </c>
      <c r="R79" s="19" t="n">
        <f aca="false">IF(ISNUMBER($C$25),IF(R$31&gt;=$C$25,$D$25,IF(ISNUMBER(Assumptions!$E$63),IF(R$31&gt;=Assumptions!$E$63,Assumptions!$E$64,Assumptions!$E$52),Assumptions!$E$52)),IF(ISNUMBER(Assumptions!$E$63),IF(R$31&gt;=Assumptions!$E$63,Assumptions!$E$64,Assumptions!$E$52),Assumptions!$E$52))</f>
        <v>0.18</v>
      </c>
      <c r="S79" s="19" t="n">
        <f aca="false">IF(ISNUMBER($C$25),IF(S$31&gt;=$C$25,$D$25,IF(ISNUMBER(Assumptions!$E$63),IF(S$31&gt;=Assumptions!$E$63,Assumptions!$E$64,Assumptions!$E$52),Assumptions!$E$52)),IF(ISNUMBER(Assumptions!$E$63),IF(S$31&gt;=Assumptions!$E$63,Assumptions!$E$64,Assumptions!$E$52),Assumptions!$E$52))</f>
        <v>0.18</v>
      </c>
      <c r="T79" s="19" t="n">
        <f aca="false">IF(ISNUMBER($C$25),IF(T$31&gt;=$C$25,$D$25,IF(ISNUMBER(Assumptions!$E$63),IF(T$31&gt;=Assumptions!$E$63,Assumptions!$E$64,Assumptions!$E$52),Assumptions!$E$52)),IF(ISNUMBER(Assumptions!$E$63),IF(T$31&gt;=Assumptions!$E$63,Assumptions!$E$64,Assumptions!$E$52),Assumptions!$E$52))</f>
        <v>0.18</v>
      </c>
      <c r="U79" s="19" t="n">
        <f aca="false">IF(ISNUMBER($C$25),IF(U$31&gt;=$C$25,$D$25,IF(ISNUMBER(Assumptions!$E$63),IF(U$31&gt;=Assumptions!$E$63,Assumptions!$E$64,Assumptions!$E$52),Assumptions!$E$52)),IF(ISNUMBER(Assumptions!$E$63),IF(U$31&gt;=Assumptions!$E$63,Assumptions!$E$64,Assumptions!$E$52),Assumptions!$E$52))</f>
        <v>0.18</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0.105</v>
      </c>
      <c r="O80" s="17" t="n">
        <f aca="false">Assumptions!$E$59*IF(AND(O$31&gt;=5,O$31&lt;=8),$C$20,1)</f>
        <v>0.105</v>
      </c>
      <c r="P80" s="17" t="n">
        <f aca="false">Assumptions!$E$59*IF(AND(P$31&gt;=5,P$31&lt;=8),$C$20,1)</f>
        <v>0.105</v>
      </c>
      <c r="Q80" s="17" t="n">
        <f aca="false">Assumptions!$E$59*IF(AND(Q$31&gt;=5,Q$31&lt;=8),$C$20,1)</f>
        <v>0.105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10.2940808941984</v>
      </c>
      <c r="O81" s="36" t="n">
        <f aca="false">N81+O78-O79-N81*O80/4</f>
        <v>10.0178209437567</v>
      </c>
      <c r="P81" s="36" t="n">
        <f aca="false">O81+P78-P79-O81*P80/4</f>
        <v>9.74414430011164</v>
      </c>
      <c r="Q81" s="36" t="n">
        <f aca="false">P81+Q78-Q79-P81*Q80/4</f>
        <v>9.4730268067613</v>
      </c>
      <c r="R81" s="36" t="n">
        <f aca="false">Q81+R78-R79-Q81*R80/4</f>
        <v>9.36060548539537</v>
      </c>
      <c r="S81" s="36" t="n">
        <f aca="false">R81+S78-S79-R81*S80/4</f>
        <v>9.24738217280709</v>
      </c>
      <c r="T81" s="36" t="n">
        <f aca="false">S81+T78-T79-S81*T80/4</f>
        <v>9.13335114775146</v>
      </c>
      <c r="U81" s="36" t="n">
        <f aca="false">T81+U78-U79-T81*U80/4</f>
        <v>9.01850664816929</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0.549184952830458</v>
      </c>
      <c r="O82" s="22" t="n">
        <f aca="false">O78/O79</f>
        <v>0.966442627950323</v>
      </c>
      <c r="P82" s="22" t="n">
        <f aca="false">P78/P79</f>
        <v>0.94050642293636</v>
      </c>
      <c r="Q82" s="22" t="n">
        <f aca="false">Q78/Q79</f>
        <v>0.914812747375482</v>
      </c>
      <c r="R82" s="22" t="n">
        <f aca="false">R78/R79</f>
        <v>0.83593146218464</v>
      </c>
      <c r="S82" s="22" t="n">
        <f aca="false">S78/S79</f>
        <v>0.826011030049573</v>
      </c>
      <c r="T82" s="22" t="n">
        <f aca="false">T78/T79</f>
        <v>0.816019827535741</v>
      </c>
      <c r="U82" s="22" t="n">
        <f aca="false">U78/U79</f>
        <v>0.805957349781415</v>
      </c>
    </row>
    <row r="83" customFormat="false" ht="15" hidden="false" customHeight="false" outlineLevel="0" collapsed="false">
      <c r="B83" s="9" t="s">
        <v>225</v>
      </c>
      <c r="C83" s="36" t="n">
        <f aca="false">U81*(1+$E$25)</f>
        <v>5.86202932131004</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0.0875</v>
      </c>
      <c r="O87" s="17" t="n">
        <f aca="false">O32+Assumptions!$C$72+Assumptions!$C$73</f>
        <v>0.0875</v>
      </c>
      <c r="P87" s="17" t="n">
        <f aca="false">P32+Assumptions!$C$72+Assumptions!$C$73</f>
        <v>0.0875</v>
      </c>
      <c r="Q87" s="17" t="n">
        <f aca="false">Q32+Assumptions!$C$72+Assumptions!$C$73</f>
        <v>0.0875</v>
      </c>
      <c r="R87" s="17" t="n">
        <f aca="false">R32+Assumptions!$C$72+Assumptions!$C$73</f>
        <v>0.0875</v>
      </c>
      <c r="S87" s="17" t="n">
        <f aca="false">S32+Assumptions!$C$72+Assumptions!$C$73</f>
        <v>0.0875</v>
      </c>
      <c r="T87" s="17" t="n">
        <f aca="false">T32+Assumptions!$C$72+Assumptions!$C$73</f>
        <v>0.0875</v>
      </c>
      <c r="U87" s="17" t="n">
        <f aca="false">U32+Assumptions!$C$72+Assumptions!$C$73</f>
        <v>0.0875</v>
      </c>
      <c r="V87" s="17" t="n">
        <f aca="false">U32+Assumptions!$C$72+Assumptions!$C$73</f>
        <v>0.0875</v>
      </c>
      <c r="W87" s="17" t="n">
        <f aca="false">U32+Assumptions!$C$72+Assumptions!$C$73</f>
        <v>0.0875</v>
      </c>
      <c r="X87" s="17" t="n">
        <f aca="false">U32+Assumptions!$C$72+Assumptions!$C$73</f>
        <v>0.0875</v>
      </c>
      <c r="Y87" s="17" t="n">
        <f aca="false">U32+Assumptions!$C$72+Assumptions!$C$73</f>
        <v>0.0875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0.153125</v>
      </c>
      <c r="O88" s="17" t="n">
        <f aca="false">O87*(1+Assumptions!$C$74)</f>
        <v>0.153125</v>
      </c>
      <c r="P88" s="17" t="n">
        <f aca="false">P87*(1+Assumptions!$C$74)</f>
        <v>0.153125</v>
      </c>
      <c r="Q88" s="17" t="n">
        <f aca="false">Q87*(1+Assumptions!$C$74)</f>
        <v>0.153125</v>
      </c>
      <c r="R88" s="17" t="n">
        <f aca="false">R87*(1+Assumptions!$C$74)</f>
        <v>0.153125</v>
      </c>
      <c r="S88" s="17" t="n">
        <f aca="false">S87*(1+Assumptions!$C$74)</f>
        <v>0.153125</v>
      </c>
      <c r="T88" s="17" t="n">
        <f aca="false">T87*(1+Assumptions!$C$74)</f>
        <v>0.153125</v>
      </c>
      <c r="U88" s="17" t="n">
        <f aca="false">U87*(1+Assumptions!$C$74)</f>
        <v>0.153125</v>
      </c>
      <c r="V88" s="17" t="n">
        <f aca="false">V87*(1+Assumptions!$C$74)</f>
        <v>0.153125</v>
      </c>
      <c r="W88" s="17" t="n">
        <f aca="false">W87*(1+Assumptions!$C$74)</f>
        <v>0.153125</v>
      </c>
      <c r="X88" s="17" t="n">
        <f aca="false">X87*(1+Assumptions!$C$74)</f>
        <v>0.153125</v>
      </c>
      <c r="Y88" s="17" t="n">
        <f aca="false">Y87*(1+Assumptions!$C$74)</f>
        <v>0.153125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0.035625</v>
      </c>
      <c r="O89" s="17" t="n">
        <f aca="false">(O32+Assumptions!$C$75)*Assumptions!$C$74</f>
        <v>0.035625</v>
      </c>
      <c r="P89" s="17" t="n">
        <f aca="false">(P32+Assumptions!$C$75)*Assumptions!$C$74</f>
        <v>0.035625</v>
      </c>
      <c r="Q89" s="17" t="n">
        <f aca="false">(Q32+Assumptions!$C$75)*Assumptions!$C$74</f>
        <v>0.035625</v>
      </c>
      <c r="R89" s="17" t="n">
        <f aca="false">(R32+Assumptions!$C$75)*Assumptions!$C$74</f>
        <v>0.035625</v>
      </c>
      <c r="S89" s="17" t="n">
        <f aca="false">(S32+Assumptions!$C$75)*Assumptions!$C$74</f>
        <v>0.035625</v>
      </c>
      <c r="T89" s="17" t="n">
        <f aca="false">(T32+Assumptions!$C$75)*Assumptions!$C$74</f>
        <v>0.035625</v>
      </c>
      <c r="U89" s="17" t="n">
        <f aca="false">(U32+Assumptions!$C$75)*Assumptions!$C$74</f>
        <v>0.035625</v>
      </c>
      <c r="V89" s="17" t="n">
        <f aca="false">(U32+Assumptions!$C$75)*Assumptions!$C$74</f>
        <v>0.035625</v>
      </c>
      <c r="W89" s="17" t="n">
        <f aca="false">(U32+Assumptions!$C$75)*Assumptions!$C$74</f>
        <v>0.035625</v>
      </c>
      <c r="X89" s="17" t="n">
        <f aca="false">(U32+Assumptions!$C$75)*Assumptions!$C$74</f>
        <v>0.035625</v>
      </c>
      <c r="Y89" s="17" t="n">
        <f aca="false">(U32+Assumptions!$C$75)*Assumptions!$C$74</f>
        <v>0.035625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0.087125</v>
      </c>
      <c r="O92" s="17" t="n">
        <f aca="false">O88-O89-O90-O91</f>
        <v>0.087125</v>
      </c>
      <c r="P92" s="17" t="n">
        <f aca="false">P88-P89-P90-P91</f>
        <v>0.087125</v>
      </c>
      <c r="Q92" s="17" t="n">
        <f aca="false">Q88-Q89-Q90-Q91</f>
        <v>0.087125</v>
      </c>
      <c r="R92" s="17" t="n">
        <f aca="false">R88-R89-R90-R91</f>
        <v>0.087125</v>
      </c>
      <c r="S92" s="17" t="n">
        <f aca="false">S88-S89-S90-S91</f>
        <v>0.087125</v>
      </c>
      <c r="T92" s="17" t="n">
        <f aca="false">T88-T89-T90-T91</f>
        <v>0.087125</v>
      </c>
      <c r="U92" s="17" t="n">
        <f aca="false">U88-U89-U90-U91</f>
        <v>0.087125</v>
      </c>
      <c r="V92" s="17" t="n">
        <f aca="false">V88-V89-V90-V91</f>
        <v>0.087125</v>
      </c>
      <c r="W92" s="17" t="n">
        <f aca="false">W88-W89-W90-W91</f>
        <v>0.087125</v>
      </c>
      <c r="X92" s="17" t="n">
        <f aca="false">X88-X89-X90-X91</f>
        <v>0.087125</v>
      </c>
      <c r="Y92" s="17" t="n">
        <f aca="false">Y88-Y89-Y90-Y91</f>
        <v>0.087125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0.010890625</v>
      </c>
      <c r="O93" s="17" t="n">
        <f aca="false">IF(O92&gt;Assumptions!$C$80,Assumptions!$C$79*O92,0)</f>
        <v>0.010890625</v>
      </c>
      <c r="P93" s="17" t="n">
        <f aca="false">IF(P92&gt;Assumptions!$C$80,Assumptions!$C$79*P92,0)</f>
        <v>0.010890625</v>
      </c>
      <c r="Q93" s="17" t="n">
        <f aca="false">IF(Q92&gt;Assumptions!$C$80,Assumptions!$C$79*Q92,0)</f>
        <v>0.010890625</v>
      </c>
      <c r="R93" s="17" t="n">
        <f aca="false">IF(R92&gt;Assumptions!$C$80,Assumptions!$C$79*R92,0)</f>
        <v>0.010890625</v>
      </c>
      <c r="S93" s="17" t="n">
        <f aca="false">IF(S92&gt;Assumptions!$C$80,Assumptions!$C$79*S92,0)</f>
        <v>0.010890625</v>
      </c>
      <c r="T93" s="17" t="n">
        <f aca="false">IF(T92&gt;Assumptions!$C$80,Assumptions!$C$79*T92,0)</f>
        <v>0.010890625</v>
      </c>
      <c r="U93" s="17" t="n">
        <f aca="false">IF(U92&gt;Assumptions!$C$80,Assumptions!$C$79*U92,0)</f>
        <v>0.010890625</v>
      </c>
      <c r="V93" s="17" t="n">
        <f aca="false">IF(V92&gt;Assumptions!$C$80,Assumptions!$C$79*V92,0)</f>
        <v>0.010890625</v>
      </c>
      <c r="W93" s="17" t="n">
        <f aca="false">IF(W92&gt;Assumptions!$C$80,Assumptions!$C$79*W92,0)</f>
        <v>0.010890625</v>
      </c>
      <c r="X93" s="17" t="n">
        <f aca="false">IF(X92&gt;Assumptions!$C$80,Assumptions!$C$79*X92,0)</f>
        <v>0.010890625</v>
      </c>
      <c r="Y93" s="17" t="n">
        <f aca="false">IF(Y92&gt;Assumptions!$C$80,Assumptions!$C$79*Y92,0)</f>
        <v>0.010890625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0.076234375</v>
      </c>
      <c r="O94" s="17" t="n">
        <f aca="false">O92-O93</f>
        <v>0.076234375</v>
      </c>
      <c r="P94" s="17" t="n">
        <f aca="false">P92-P93</f>
        <v>0.076234375</v>
      </c>
      <c r="Q94" s="17" t="n">
        <f aca="false">Q92-Q93</f>
        <v>0.076234375</v>
      </c>
      <c r="R94" s="17" t="n">
        <f aca="false">R92-R93</f>
        <v>0.076234375</v>
      </c>
      <c r="S94" s="17" t="n">
        <f aca="false">S92-S93</f>
        <v>0.076234375</v>
      </c>
      <c r="T94" s="17" t="n">
        <f aca="false">T92-T93</f>
        <v>0.076234375</v>
      </c>
      <c r="U94" s="17" t="n">
        <f aca="false">U92-U93</f>
        <v>0.076234375</v>
      </c>
      <c r="V94" s="17" t="n">
        <f aca="false">V92-V93</f>
        <v>0.076234375</v>
      </c>
      <c r="W94" s="17" t="n">
        <f aca="false">W92-W93</f>
        <v>0.076234375</v>
      </c>
      <c r="X94" s="17" t="n">
        <f aca="false">X92-X93</f>
        <v>0.076234375</v>
      </c>
      <c r="Y94" s="17" t="n">
        <f aca="false">Y92-Y93</f>
        <v>0.076234375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0.0525</v>
      </c>
      <c r="O95" s="17" t="n">
        <f aca="false">$C$27*Assumptions!$C$82*(1+Assumptions!$C$74)*IF(AND(O$31&gt;=5,O$31&lt;=8),$C$26,1)</f>
        <v>0.0525</v>
      </c>
      <c r="P95" s="17" t="n">
        <f aca="false">$C$27*Assumptions!$C$82*(1+Assumptions!$C$74)*IF(AND(P$31&gt;=5,P$31&lt;=8),$C$26,1)</f>
        <v>0.0525</v>
      </c>
      <c r="Q95" s="17" t="n">
        <f aca="false">$C$27*Assumptions!$C$82*(1+Assumptions!$C$74)*IF(AND(Q$31&gt;=5,Q$31&lt;=8),$C$26,1)</f>
        <v>0.0525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0.467585756453396</v>
      </c>
      <c r="O96" s="42" t="n">
        <f aca="false">N97*O94/4</f>
        <v>0.459639761391102</v>
      </c>
      <c r="P96" s="42" t="n">
        <f aca="false">O97*P94/4</f>
        <v>0.451646618022169</v>
      </c>
      <c r="Q96" s="42" t="n">
        <f aca="false">P97*Q94/4</f>
        <v>0.443606046587699</v>
      </c>
      <c r="R96" s="42" t="n">
        <f aca="false">Q97*R94/4</f>
        <v>0.435517765668819</v>
      </c>
      <c r="S96" s="42" t="n">
        <f aca="false">R97*S94/4</f>
        <v>0.431192272626432</v>
      </c>
      <c r="T96" s="42" t="n">
        <f aca="false">S97*T94/4</f>
        <v>0.426803265801443</v>
      </c>
      <c r="U96" s="42" t="n">
        <f aca="false">T97*U94/4</f>
        <v>0.42234981258327</v>
      </c>
      <c r="V96" s="42" t="n">
        <f aca="false">U97*V94/4</f>
        <v>0.417830966667256</v>
      </c>
      <c r="W96" s="42" t="n">
        <f aca="false">V97*W94/4</f>
        <v>0.413245767853593</v>
      </c>
      <c r="X96" s="42" t="n">
        <f aca="false">W97*X94/4</f>
        <v>0.408593241843287</v>
      </c>
      <c r="Y96" s="42" t="n">
        <f aca="false">X97*Y94/4</f>
        <v>0.403872400031134</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24.1171918253991</v>
      </c>
      <c r="O97" s="36" t="n">
        <f aca="false">N97+O96-Assumptions!$C$71-N97*O95/4</f>
        <v>23.6977934440818</v>
      </c>
      <c r="P97" s="36" t="n">
        <f aca="false">O97+P96-Assumptions!$C$71-O97*P95/4</f>
        <v>23.2759065231504</v>
      </c>
      <c r="Q97" s="36" t="n">
        <f aca="false">P97+Q96-Assumptions!$C$71-P97*Q95/4</f>
        <v>22.8515162966218</v>
      </c>
      <c r="R97" s="36" t="n">
        <f aca="false">Q97+R96-Assumptions!$C$71-Q97*R95/4</f>
        <v>22.6245586784929</v>
      </c>
      <c r="S97" s="36" t="n">
        <f aca="false">R97+S96-Assumptions!$C$71-R97*S95/4</f>
        <v>22.3942685069009</v>
      </c>
      <c r="T97" s="36" t="n">
        <f aca="false">S97+T96-Assumptions!$C$71-S97*T95/4</f>
        <v>22.1605968479846</v>
      </c>
      <c r="U97" s="36" t="n">
        <f aca="false">T97+U96-Assumptions!$C$71-T97*U95/4</f>
        <v>21.923494049358</v>
      </c>
      <c r="V97" s="36" t="n">
        <f aca="false">U97+V96-Assumptions!$C$71-U97*V95/4</f>
        <v>21.6829097295593</v>
      </c>
      <c r="W97" s="36" t="n">
        <f aca="false">V97+W96-Assumptions!$C$71-V97*W95/4</f>
        <v>21.4387927673461</v>
      </c>
      <c r="X97" s="36" t="n">
        <f aca="false">W97+X96-Assumptions!$C$71-W97*X95/4</f>
        <v>21.1910912908322</v>
      </c>
      <c r="Y97" s="36" t="n">
        <f aca="false">X97+Y96-Assumptions!$C$71-X97*Y95/4</f>
        <v>20.9397526664659</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0.83126356702826</v>
      </c>
      <c r="O98" s="33" t="n">
        <f aca="false">O96/Assumptions!$C$71</f>
        <v>0.817137353584181</v>
      </c>
      <c r="P98" s="33" t="n">
        <f aca="false">P96/Assumptions!$C$71</f>
        <v>0.8029273209283</v>
      </c>
      <c r="Q98" s="33" t="n">
        <f aca="false">Q96/Assumptions!$C$71</f>
        <v>0.788632971711464</v>
      </c>
      <c r="R98" s="33" t="n">
        <f aca="false">R96/Assumptions!$C$71</f>
        <v>0.774253805633455</v>
      </c>
      <c r="S98" s="33" t="n">
        <f aca="false">S96/Assumptions!$C$71</f>
        <v>0.766564040224768</v>
      </c>
      <c r="T98" s="33" t="n">
        <f aca="false">T96/Assumptions!$C$71</f>
        <v>0.758761361424788</v>
      </c>
      <c r="U98" s="33" t="n">
        <f aca="false">U96/Assumptions!$C$71</f>
        <v>0.750844111259146</v>
      </c>
      <c r="V98" s="33" t="n">
        <f aca="false">V96/Assumptions!$C$71</f>
        <v>0.742810607408455</v>
      </c>
      <c r="W98" s="33" t="n">
        <f aca="false">W96/Assumptions!$C$71</f>
        <v>0.734659142850832</v>
      </c>
      <c r="X98" s="33" t="n">
        <f aca="false">X96/Assumptions!$C$71</f>
        <v>0.726387985499177</v>
      </c>
      <c r="Y98" s="33" t="n">
        <f aca="false">Y96/Assumptions!$C$71</f>
        <v>0.717995377833127</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1000</v>
      </c>
      <c r="V99" s="43" t="n">
        <f aca="false">IF(V$31&gt;=12,IF(V$31&gt;=12+$C$29,U100,U100*$C$28),0)</f>
        <v>750</v>
      </c>
      <c r="W99" s="43" t="n">
        <f aca="false">IF(W$31&gt;=12,IF(W$31&gt;=12+$C$29,V100,V100*$C$28),0)</f>
        <v>562.5</v>
      </c>
      <c r="X99" s="43" t="n">
        <f aca="false">IF(X$31&gt;=12,IF(X$31&gt;=12+$C$29,W100,W100*$C$28),0)</f>
        <v>421.875</v>
      </c>
      <c r="Y99" s="43" t="n">
        <f aca="false">IF(Y$31&gt;=12,IF(Y$31&gt;=12+$C$29,X100,X100*$C$28),0)</f>
        <v>1265.625</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3000</v>
      </c>
      <c r="V100" s="43" t="n">
        <f aca="false">U100-V99</f>
        <v>2250</v>
      </c>
      <c r="W100" s="43" t="n">
        <f aca="false">V100-W99</f>
        <v>1687.5</v>
      </c>
      <c r="X100" s="43" t="n">
        <f aca="false">W100-X99</f>
        <v>1265.625</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1687.5</v>
      </c>
      <c r="W101" s="26" t="n">
        <f aca="false">V100*Assumptions!$C$71</f>
        <v>1265.625</v>
      </c>
      <c r="X101" s="26" t="n">
        <f aca="false">W100*Assumptions!$C$71</f>
        <v>949.21875</v>
      </c>
      <c r="Y101" s="26" t="n">
        <f aca="false">X100*Assumptions!$C$71</f>
        <v>711.9140625</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99.7597724154736</v>
      </c>
      <c r="F107" s="17" t="n">
        <f aca="false">Assumptions!$F$24</f>
        <v>0.0515</v>
      </c>
      <c r="G107" s="26" t="n">
        <f aca="false">SUM(I107:Y107)</f>
        <v>3802.44310386839</v>
      </c>
      <c r="H107" s="31" t="n">
        <f aca="false">(1+IRR(I107:Y107,IF(SUM(I107:Y107)&lt;0,-0.05,0.01)))^4-1</f>
        <v>0.0513924075719814</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25583.6931038684</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99.5328518493633</v>
      </c>
      <c r="F108" s="17" t="n">
        <f aca="false">Assumptions!$F$25</f>
        <v>0.053</v>
      </c>
      <c r="G108" s="26" t="n">
        <f aca="false">SUM(I108:Y108)</f>
        <v>3858.21296234081</v>
      </c>
      <c r="H108" s="31" t="n">
        <f aca="false">(1+IRR(I108:Y108,IF(SUM(I108:Y108)&lt;0,-0.05,0.01)))^4-1</f>
        <v>0.0522042807922112</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25545.7129623408</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99.3194716017581</v>
      </c>
      <c r="F109" s="17" t="n">
        <f aca="false">Assumptions!$F$26</f>
        <v>0.0545</v>
      </c>
      <c r="G109" s="26" t="n">
        <f aca="false">SUM(I109:Y109)</f>
        <v>3917.36790043953</v>
      </c>
      <c r="H109" s="31" t="n">
        <f aca="false">(1+IRR(I109:Y109,IF(SUM(I109:Y109)&lt;0,-0.05,0.01)))^4-1</f>
        <v>0.0530614087541905</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25511.1179004395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97.7484400971901</v>
      </c>
      <c r="F110" s="17" t="n">
        <f aca="false">RATE(Assumptions!$C$30*2,Assumptions!$D$32*100/2,-Assumptions!$E$32,100)*2</f>
        <v>0.0699042470751673</v>
      </c>
      <c r="G110" s="26" t="n">
        <f aca="false">SUM(I110:Y110)</f>
        <v>2374.80501214876</v>
      </c>
      <c r="H110" s="31" t="n">
        <f aca="false">(1+IRR(I110:Y110,IF(SUM(I110:Y110)&lt;0,-0.05,0.01)))^4-1</f>
        <v>0.0653274159230022</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12640.4300121488</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97.534919840725</v>
      </c>
      <c r="F111" s="17" t="n">
        <f aca="false">RATE(Assumptions!$C$30*2,Assumptions!$D$33*100/2,-Assumptions!$E$33,100)*2</f>
        <v>0.0736404123832243</v>
      </c>
      <c r="G111" s="26" t="n">
        <f aca="false">SUM(I111:Y111)</f>
        <v>2504.36498009062</v>
      </c>
      <c r="H111" s="31" t="n">
        <f aca="false">(1+IRR(I111:Y111,IF(SUM(I111:Y111)&lt;0,-0.05,0.01)))^4-1</f>
        <v>0.0692253848521922</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12629.3649800906</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97.3191843307759</v>
      </c>
      <c r="F112" s="17" t="n">
        <f aca="false">RATE(Assumptions!$C$30*2,Assumptions!$D$34*100/2,-Assumptions!$E$34,100)*2</f>
        <v>0.0773997713205988</v>
      </c>
      <c r="G112" s="26" t="n">
        <f aca="false">SUM(I112:Y112)</f>
        <v>2633.64804134699</v>
      </c>
      <c r="H112" s="31" t="n">
        <f aca="false">(1+IRR(I112:Y112,IF(SUM(I112:Y112)&lt;0,-0.05,0.01)))^4-1</f>
        <v>0.0731544343629309</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12618.023041347</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97.101217775184</v>
      </c>
      <c r="F113" s="17" t="n">
        <f aca="false">RATE(Assumptions!$C$30*2,Assumptions!$D$35*100/2,-Assumptions!$E$35,100)*2</f>
        <v>0.0811827080590467</v>
      </c>
      <c r="G113" s="26" t="n">
        <f aca="false">SUM(I113:Y113)</f>
        <v>-7031.25</v>
      </c>
      <c r="H113" s="31" t="n">
        <f aca="false">(1+IRR(I113:Y113,IF(SUM(I113:Y113)&lt;0,-0.05,0.01)))^4-1</f>
        <v>-0.283756844998117</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0</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0</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3750</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96.8818385525592</v>
      </c>
      <c r="F114" s="17" t="n">
        <f aca="false">RATE(Assumptions!$C$30*2,Assumptions!$D$36*100/2,-Assumptions!$E$36,100)*2</f>
        <v>0.0875368825411204</v>
      </c>
      <c r="G114" s="26" t="n">
        <f aca="false">SUM(I114:Y114)</f>
        <v>-7375</v>
      </c>
      <c r="H114" s="31" t="n">
        <f aca="false">(1+IRR(I114:Y114,IF(SUM(I114:Y114)&lt;0,-0.05,0.01)))^4-1</f>
        <v>-0.343682618403915</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3750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0</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95.5230112761865</v>
      </c>
      <c r="F115" s="17" t="n">
        <f aca="false">RATE(Assumptions!$C$30*2,Assumptions!$D$37*100/2,-Assumptions!$E$37,100)*2</f>
        <v>0.100561753609911</v>
      </c>
      <c r="G115" s="26" t="n">
        <f aca="false">SUM(I115:Y115)</f>
        <v>-7562.5</v>
      </c>
      <c r="H115" s="31" t="n">
        <f aca="false">(1+IRR(I115:Y115,IF(SUM(I115:Y115)&lt;0,-0.05,0.01)))^4-1</f>
        <v>-0.377547951583126</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3125</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7897.52810543495</v>
      </c>
      <c r="H116" s="31" t="n">
        <f aca="false">(1+IRR(I116:Y116,IF(SUM(I116:Y116)&lt;0,-0.05,0.01)))^4-1</f>
        <v>0.0367881825294081</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955.525790239965</v>
      </c>
      <c r="O116" s="41" t="n">
        <f aca="false">IF(O$104=0,-$D116,0)+IF(AND(O$104&gt;=1,O$104&lt;=12),$C$35*$O$39,0)+IF(O$104=12,$C$35*$O$40,0)</f>
        <v>945.851091613785</v>
      </c>
      <c r="P116" s="41" t="n">
        <f aca="false">IF(P$104=0,-$D116,0)+IF(AND(P$104&gt;=1,P$104&lt;=12),$C$35*$P$39,0)+IF(P$104=12,$C$35*$P$40,0)</f>
        <v>936.274349311196</v>
      </c>
      <c r="Q116" s="41" t="n">
        <f aca="false">IF(Q$104=0,-$D116,0)+IF(AND(Q$104&gt;=1,Q$104&lt;=12),$C$35*$Q$39,0)+IF(Q$104=12,$C$35*$Q$40,0)</f>
        <v>926.79457152442</v>
      </c>
      <c r="R116" s="41" t="n">
        <f aca="false">IF(R$104=0,-$D116,0)+IF(AND(R$104&gt;=1,R$104&lt;=12),$C$35*$R$39,0)+IF(R$104=12,$C$35*$R$40,0)</f>
        <v>917.410776487735</v>
      </c>
      <c r="S116" s="41" t="n">
        <f aca="false">IF(S$104=0,-$D116,0)+IF(AND(S$104&gt;=1,S$104&lt;=12),$C$35*$S$39,0)+IF(S$104=12,$C$35*$S$40,0)</f>
        <v>915.002573199455</v>
      </c>
      <c r="T116" s="41" t="n">
        <f aca="false">IF(T$104=0,-$D116,0)+IF(AND(T$104&gt;=1,T$104&lt;=12),$C$35*$T$39,0)+IF(T$104=12,$C$35*$T$40,0)</f>
        <v>912.600691444806</v>
      </c>
      <c r="U116" s="41" t="n">
        <f aca="false">IF(U$104=0,-$D116,0)+IF(AND(U$104&gt;=1,U$104&lt;=12),$C$35*$U$39,0)+IF(U$104=12,$C$35*$U$40,0)</f>
        <v>71420.1721984247</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2930.35543112022</v>
      </c>
      <c r="H117" s="31" t="n">
        <f aca="false">(1+IRR(I117:Y117,IF(SUM(I117:Y117)&lt;0,-0.05,0.01)))^4-1</f>
        <v>0.0431262743164862</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552.631578947368</v>
      </c>
      <c r="Q117" s="41" t="n">
        <f aca="false">IF(Q$104=0,-$D117,0)+IF(AND(Q$104&gt;=1,Q$104&lt;=12),$C$44*$Q$51,0)+IF(Q$104=12,$C$44*$C$55,0)</f>
        <v>552.631578947368</v>
      </c>
      <c r="R117" s="41" t="n">
        <f aca="false">IF(R$104=0,-$D117,0)+IF(AND(R$104&gt;=1,R$104&lt;=12),$C$44*$R$51,0)+IF(R$104=12,$C$44*$C$55,0)</f>
        <v>552.631578947368</v>
      </c>
      <c r="S117" s="41" t="n">
        <f aca="false">IF(S$104=0,-$D117,0)+IF(AND(S$104&gt;=1,S$104&lt;=12),$C$44*$S$51,0)+IF(S$104=12,$C$44*$C$55,0)</f>
        <v>552.631578947368</v>
      </c>
      <c r="T117" s="41" t="n">
        <f aca="false">IF(T$104=0,-$D117,0)+IF(AND(T$104&gt;=1,T$104&lt;=12),$C$44*$T$51,0)+IF(T$104=12,$C$44*$C$55,0)</f>
        <v>552.631578947368</v>
      </c>
      <c r="U117" s="41" t="n">
        <f aca="false">IF(U$104=0,-$D117,0)+IF(AND(U$104&gt;=1,U$104&lt;=12),$C$44*$U$51,0)+IF(U$104=12,$C$44*$C$55,0)</f>
        <v>21377.7238521728</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2247.92624959796</v>
      </c>
      <c r="H118" s="31" t="n">
        <f aca="false">(1+IRR(I118:Y118,IF(SUM(I118:Y118)&lt;0,-0.05,0.01)))^4-1</f>
        <v>0.0337337608981554</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600</v>
      </c>
      <c r="Q118" s="41" t="n">
        <f aca="false">IF(Q$104=0,-$D118,0)+IF(AND(Q$104&gt;=1,Q$104&lt;=12),$C$58*$Q$65,0)+IF(Q$104=12,$C$58*$C$69,0)</f>
        <v>600</v>
      </c>
      <c r="R118" s="41" t="n">
        <f aca="false">IF(R$104=0,-$D118,0)+IF(AND(R$104&gt;=1,R$104&lt;=12),$C$58*$R$65,0)+IF(R$104=12,$C$58*$C$69,0)</f>
        <v>600</v>
      </c>
      <c r="S118" s="41" t="n">
        <f aca="false">IF(S$104=0,-$D118,0)+IF(AND(S$104&gt;=1,S$104&lt;=12),$C$58*$S$65,0)+IF(S$104=12,$C$58*$C$69,0)</f>
        <v>600</v>
      </c>
      <c r="T118" s="41" t="n">
        <f aca="false">IF(T$104=0,-$D118,0)+IF(AND(T$104&gt;=1,T$104&lt;=12),$C$58*$T$65,0)+IF(T$104=12,$C$58*$C$69,0)</f>
        <v>600</v>
      </c>
      <c r="U118" s="41" t="n">
        <f aca="false">IF(U$104=0,-$D118,0)+IF(AND(U$104&gt;=1,U$104&lt;=12),$C$58*$U$65,0)+IF(U$104=12,$C$58*$C$69,0)</f>
        <v>20247.926249598</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-633.251885249902</v>
      </c>
      <c r="H119" s="31" t="n">
        <f aca="false">(1+IRR(I119:Y119,IF(SUM(I119:Y119)&lt;0,-0.05,0.01)))^4-1</f>
        <v>-0.0103199918289443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500</v>
      </c>
      <c r="P119" s="41" t="n">
        <f aca="false">IF(P$104=0,-$D119,0)+IF(AND(P$104&gt;=1,P$104&lt;=12),$C$72*$P$79,0)+IF(P$104=12,$C$72*$C$83,0)</f>
        <v>500</v>
      </c>
      <c r="Q119" s="41" t="n">
        <f aca="false">IF(Q$104=0,-$D119,0)+IF(AND(Q$104&gt;=1,Q$104&lt;=12),$C$72*$Q$79,0)+IF(Q$104=12,$C$72*$C$83,0)</f>
        <v>500</v>
      </c>
      <c r="R119" s="41" t="n">
        <f aca="false">IF(R$104=0,-$D119,0)+IF(AND(R$104&gt;=1,R$104&lt;=12),$C$72*$R$79,0)+IF(R$104=12,$C$72*$C$83,0)</f>
        <v>500</v>
      </c>
      <c r="S119" s="41" t="n">
        <f aca="false">IF(S$104=0,-$D119,0)+IF(AND(S$104&gt;=1,S$104&lt;=12),$C$72*$S$79,0)+IF(S$104=12,$C$72*$C$83,0)</f>
        <v>500</v>
      </c>
      <c r="T119" s="41" t="n">
        <f aca="false">IF(T$104=0,-$D119,0)+IF(AND(T$104&gt;=1,T$104&lt;=12),$C$72*$T$79,0)+IF(T$104=12,$C$72*$C$83,0)</f>
        <v>500</v>
      </c>
      <c r="U119" s="41" t="n">
        <f aca="false">IF(U$104=0,-$D119,0)+IF(AND(U$104&gt;=1,U$104&lt;=12),$C$72*$U$79,0)+IF(U$104=12,$C$72*$C$83,0)</f>
        <v>16783.4147814168</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17301.1211974754</v>
      </c>
      <c r="H120" s="31" t="n">
        <f aca="false">(1+IRR(I120:Y120,IF(SUM(I120:Y120)&lt;0,-0.05,0.01)))^4-1</f>
        <v>0.0537268981731835</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24173.494049358</v>
      </c>
      <c r="V120" s="41" t="n">
        <f aca="false">$V$101+$V$99*$V$97</f>
        <v>17949.6822971695</v>
      </c>
      <c r="W120" s="41" t="n">
        <f aca="false">$W$101+$W$99*$W$97</f>
        <v>13324.9459316322</v>
      </c>
      <c r="X120" s="41" t="n">
        <f aca="false">$X$101+$X$99*$X$97</f>
        <v>9889.21038831984</v>
      </c>
      <c r="Y120" s="41" t="n">
        <f aca="false">$Y$101+$Y$99*$Y$97</f>
        <v>27213.788530996</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4680</v>
      </c>
      <c r="H121" s="31" t="n">
        <f aca="false">(1+IRR(I121:Y121,IF(SUM(I121:Y121)&lt;0,-0.05,0.01)))^4-1</f>
        <v>0.030493538929963</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325</v>
      </c>
      <c r="O121" s="41" t="n">
        <f aca="false">IF(O$104=0,-$D121,0)+IF(AND(O$104&gt;=1,O$104&lt;=12),$D121*O32/4,0)+IF(O$104=12,$D121,0)</f>
        <v>325</v>
      </c>
      <c r="P121" s="41" t="n">
        <f aca="false">IF(P$104=0,-$D121,0)+IF(AND(P$104&gt;=1,P$104&lt;=12),$D121*P32/4,0)+IF(P$104=12,$D121,0)</f>
        <v>325</v>
      </c>
      <c r="Q121" s="41" t="n">
        <f aca="false">IF(Q$104=0,-$D121,0)+IF(AND(Q$104&gt;=1,Q$104&lt;=12),$D121*Q32/4,0)+IF(Q$104=12,$D121,0)</f>
        <v>325</v>
      </c>
      <c r="R121" s="41" t="n">
        <f aca="false">IF(R$104=0,-$D121,0)+IF(AND(R$104&gt;=1,R$104&lt;=12),$D121*R32/4,0)+IF(R$104=12,$D121,0)</f>
        <v>325</v>
      </c>
      <c r="S121" s="41" t="n">
        <f aca="false">IF(S$104=0,-$D121,0)+IF(AND(S$104&gt;=1,S$104&lt;=12),$D121*S32/4,0)+IF(S$104=12,$D121,0)</f>
        <v>325</v>
      </c>
      <c r="T121" s="41" t="n">
        <f aca="false">IF(T$104=0,-$D121,0)+IF(AND(T$104&gt;=1,T$104&lt;=12),$D121*T32/4,0)+IF(T$104=12,$D121,0)</f>
        <v>325</v>
      </c>
      <c r="U121" s="41" t="n">
        <f aca="false">IF(U$104=0,-$D121,0)+IF(AND(U$104&gt;=1,U$104&lt;=12),$D121*U32/4,0)+IF(U$104=12,$D121,0)</f>
        <v>52325</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17690.5239666487</v>
      </c>
      <c r="H123" s="31" t="n">
        <f aca="false">(1+IRR(I123:Y123,IF(SUM(I123:Y123)&lt;0,-0.05,0.01)))^4-1</f>
        <v>0.0512360314540408</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102259.273966649</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-14455.9319664136</v>
      </c>
      <c r="H124" s="31" t="n">
        <f aca="false">(1+IRR(I124:Y124,IF(SUM(I124:Y124)&lt;0,-0.05,0.01)))^4-1</f>
        <v>-0.0794582666111473</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1781.25</v>
      </c>
      <c r="P124" s="41" t="n">
        <f aca="false">SUMIF($C$105:$C$121,"HY",P$105:P$121)</f>
        <v>0</v>
      </c>
      <c r="Q124" s="41" t="n">
        <f aca="false">SUMIF($C$105:$C$121,"HY",Q$105:Q$121)</f>
        <v>1312.5</v>
      </c>
      <c r="R124" s="41" t="n">
        <f aca="false">SUMIF($C$105:$C$121,"HY",R$105:R$121)</f>
        <v>0</v>
      </c>
      <c r="S124" s="41" t="n">
        <f aca="false">SUMIF($C$105:$C$121,"HY",S$105:S$121)</f>
        <v>8187.5</v>
      </c>
      <c r="T124" s="41" t="n">
        <f aca="false">SUMIF($C$105:$C$121,"HY",T$105:T$121)</f>
        <v>0</v>
      </c>
      <c r="U124" s="41" t="n">
        <f aca="false">SUMIF($C$105:$C$121,"HY",U$105:U$121)</f>
        <v>41637.8180335864</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7897.52810543495</v>
      </c>
      <c r="H125" s="31" t="n">
        <f aca="false">(1+IRR(I125:Y125,IF(SUM(I125:Y125)&lt;0,-0.05,0.01)))^4-1</f>
        <v>0.0367881825294081</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955.525790239965</v>
      </c>
      <c r="O125" s="41" t="n">
        <f aca="false">SUMIF($C$105:$C$121,"Loan fund",O$105:O$121)</f>
        <v>945.851091613785</v>
      </c>
      <c r="P125" s="41" t="n">
        <f aca="false">SUMIF($C$105:$C$121,"Loan fund",P$105:P$121)</f>
        <v>936.274349311196</v>
      </c>
      <c r="Q125" s="41" t="n">
        <f aca="false">SUMIF($C$105:$C$121,"Loan fund",Q$105:Q$121)</f>
        <v>926.79457152442</v>
      </c>
      <c r="R125" s="41" t="n">
        <f aca="false">SUMIF($C$105:$C$121,"Loan fund",R$105:R$121)</f>
        <v>917.410776487735</v>
      </c>
      <c r="S125" s="41" t="n">
        <f aca="false">SUMIF($C$105:$C$121,"Loan fund",S$105:S$121)</f>
        <v>915.002573199455</v>
      </c>
      <c r="T125" s="41" t="n">
        <f aca="false">SUMIF($C$105:$C$121,"Loan fund",T$105:T$121)</f>
        <v>912.600691444806</v>
      </c>
      <c r="U125" s="41" t="n">
        <f aca="false">SUMIF($C$105:$C$121,"Loan fund",U$105:U$121)</f>
        <v>71420.1721984247</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4545.02979546828</v>
      </c>
      <c r="H126" s="31" t="n">
        <f aca="false">(1+IRR(I126:Y126,IF(SUM(I126:Y126)&lt;0,-0.05,0.01)))^4-1</f>
        <v>0.0231823158167146</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1798.24561403509</v>
      </c>
      <c r="P126" s="41" t="n">
        <f aca="false">SUMIF($C$105:$C$121,"BDC",P$105:P$121)</f>
        <v>1652.63157894737</v>
      </c>
      <c r="Q126" s="41" t="n">
        <f aca="false">SUMIF($C$105:$C$121,"BDC",Q$105:Q$121)</f>
        <v>1652.63157894737</v>
      </c>
      <c r="R126" s="41" t="n">
        <f aca="false">SUMIF($C$105:$C$121,"BDC",R$105:R$121)</f>
        <v>1652.63157894737</v>
      </c>
      <c r="S126" s="41" t="n">
        <f aca="false">SUMIF($C$105:$C$121,"BDC",S$105:S$121)</f>
        <v>1652.63157894737</v>
      </c>
      <c r="T126" s="41" t="n">
        <f aca="false">SUMIF($C$105:$C$121,"BDC",T$105:T$121)</f>
        <v>1652.63157894737</v>
      </c>
      <c r="U126" s="41" t="n">
        <f aca="false">SUMIF($C$105:$C$121,"BDC",U$105:U$121)</f>
        <v>58409.0648831876</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17301.1211974754</v>
      </c>
      <c r="H127" s="31" t="n">
        <f aca="false">(1+IRR(I127:Y127,IF(SUM(I127:Y127)&lt;0,-0.05,0.01)))^4-1</f>
        <v>0.0537268981731835</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24173.494049358</v>
      </c>
      <c r="V127" s="41" t="n">
        <f aca="false">SUMIF($C$105:$C$121,"Interval fund",V$105:V$121)</f>
        <v>17949.6822971695</v>
      </c>
      <c r="W127" s="41" t="n">
        <f aca="false">SUMIF($C$105:$C$121,"Interval fund",W$105:W$121)</f>
        <v>13324.9459316322</v>
      </c>
      <c r="X127" s="41" t="n">
        <f aca="false">SUMIF($C$105:$C$121,"Interval fund",X$105:X$121)</f>
        <v>9889.21038831984</v>
      </c>
      <c r="Y127" s="41" t="n">
        <f aca="false">SUMIF($C$105:$C$121,"Interval fund",Y$105:Y$121)</f>
        <v>27213.788530996</v>
      </c>
    </row>
    <row r="128" customFormat="false" ht="15" hidden="false" customHeight="false" outlineLevel="0" collapsed="false">
      <c r="B128" s="29" t="s">
        <v>253</v>
      </c>
      <c r="C128" s="9" t="s">
        <v>115</v>
      </c>
      <c r="D128" s="26" t="n">
        <f aca="false">SUMIF($C$105:$C$121,"Reserve",D$105:D$121)</f>
        <v>52000</v>
      </c>
      <c r="G128" s="30" t="n">
        <f aca="false">SUM(I128:Y128)</f>
        <v>4680</v>
      </c>
      <c r="H128" s="31" t="n">
        <f aca="false">(1+IRR(I128:Y128,IF(SUM(I128:Y128)&lt;0,-0.05,0.01)))^4-1</f>
        <v>0.030493538929963</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325</v>
      </c>
      <c r="O128" s="41" t="n">
        <f aca="false">SUMIF($C$105:$C$121,"Reserve",O$105:O$121)</f>
        <v>325</v>
      </c>
      <c r="P128" s="41" t="n">
        <f aca="false">SUMIF($C$105:$C$121,"Reserve",P$105:P$121)</f>
        <v>325</v>
      </c>
      <c r="Q128" s="41" t="n">
        <f aca="false">SUMIF($C$105:$C$121,"Reserve",Q$105:Q$121)</f>
        <v>325</v>
      </c>
      <c r="R128" s="41" t="n">
        <f aca="false">SUMIF($C$105:$C$121,"Reserve",R$105:R$121)</f>
        <v>325</v>
      </c>
      <c r="S128" s="41" t="n">
        <f aca="false">SUMIF($C$105:$C$121,"Reserve",S$105:S$121)</f>
        <v>325</v>
      </c>
      <c r="T128" s="41" t="n">
        <f aca="false">SUMIF($C$105:$C$121,"Reserve",T$105:T$121)</f>
        <v>325</v>
      </c>
      <c r="U128" s="41" t="n">
        <f aca="false">SUMIF($C$105:$C$121,"Reserve",U$105:U$121)</f>
        <v>52325</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37658.2710986137</v>
      </c>
      <c r="H129" s="31" t="n">
        <f aca="false">(1+IRR(I129:Y129,IF(SUM(I129:Y129)&lt;0,-0.05,0.01)))^4-1</f>
        <v>0.0265723127551649</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5745.43807094172</v>
      </c>
      <c r="O129" s="45" t="n">
        <f aca="false">SUM(O105:O121)</f>
        <v>10306.5967056489</v>
      </c>
      <c r="P129" s="45" t="n">
        <f aca="false">SUM(P105:P121)</f>
        <v>5163.90592825856</v>
      </c>
      <c r="Q129" s="45" t="n">
        <f aca="false">SUM(Q105:Q121)</f>
        <v>34673.1761504718</v>
      </c>
      <c r="R129" s="45" t="n">
        <f aca="false">SUM(R105:R121)</f>
        <v>5145.0423554351</v>
      </c>
      <c r="S129" s="45" t="n">
        <f aca="false">SUM(S105:S121)</f>
        <v>15936.3841521468</v>
      </c>
      <c r="T129" s="45" t="n">
        <f aca="false">SUM(T105:T121)</f>
        <v>5140.23227039217</v>
      </c>
      <c r="U129" s="45" t="n">
        <f aca="false">SUM(U105:U121)</f>
        <v>350224.823131205</v>
      </c>
      <c r="V129" s="45" t="n">
        <f aca="false">SUM(V105:V121)</f>
        <v>17949.6822971695</v>
      </c>
      <c r="W129" s="45" t="n">
        <f aca="false">SUM(W105:W121)</f>
        <v>13324.9459316322</v>
      </c>
      <c r="X129" s="45" t="n">
        <f aca="false">SUM(X105:X121)</f>
        <v>9889.21038831984</v>
      </c>
      <c r="Y129" s="45" t="n">
        <f aca="false">SUM(Y105:Y121)</f>
        <v>27213.788530996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258</v>
      </c>
    </row>
    <row r="3" customFormat="false" ht="15" hidden="false" customHeight="false" outlineLevel="0" collapsed="false">
      <c r="B3" s="6" t="s">
        <v>182</v>
      </c>
    </row>
    <row r="5" customFormat="false" ht="15" hidden="false" customHeight="false" outlineLevel="0" collapsed="false">
      <c r="B5" s="7" t="s">
        <v>259</v>
      </c>
      <c r="C5" s="8"/>
      <c r="D5" s="8"/>
      <c r="E5" s="8"/>
      <c r="F5" s="8"/>
      <c r="G5" s="8"/>
      <c r="H5" s="8"/>
    </row>
    <row r="6" customFormat="false" ht="15" hidden="false" customHeight="false" outlineLevel="0" collapsed="false">
      <c r="B6" s="9" t="s">
        <v>184</v>
      </c>
      <c r="C6" s="10" t="n">
        <v>0.02</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0.0025</v>
      </c>
      <c r="D8" s="6" t="s">
        <v>185</v>
      </c>
    </row>
    <row r="9" customFormat="false" ht="15" hidden="false" customHeight="false" outlineLevel="0" collapsed="false">
      <c r="B9" s="9" t="s">
        <v>188</v>
      </c>
      <c r="C9" s="10" t="n">
        <v>0.01</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n">
        <v>8</v>
      </c>
      <c r="D14" s="37" t="n">
        <v>0.3</v>
      </c>
      <c r="E14" s="24" t="n">
        <v>12</v>
      </c>
    </row>
    <row r="15" customFormat="false" ht="15" hidden="false" customHeight="false" outlineLevel="0" collapsed="false">
      <c r="B15" s="9" t="s">
        <v>51</v>
      </c>
      <c r="C15" s="24" t="n">
        <v>6</v>
      </c>
      <c r="D15" s="37" t="n">
        <v>0.3</v>
      </c>
      <c r="E15" s="24" t="n">
        <v>10</v>
      </c>
    </row>
    <row r="16" customFormat="false" ht="15" hidden="false" customHeight="false" outlineLevel="0" collapsed="false">
      <c r="B16" s="9" t="s">
        <v>52</v>
      </c>
      <c r="C16" s="24" t="n">
        <v>6</v>
      </c>
      <c r="D16" s="37" t="n">
        <v>0.25</v>
      </c>
      <c r="E16" s="24" t="n">
        <v>10</v>
      </c>
    </row>
    <row r="17" customFormat="false" ht="15" hidden="false" customHeight="false" outlineLevel="0" collapsed="false">
      <c r="B17" s="9" t="s">
        <v>193</v>
      </c>
      <c r="C17" s="21" t="n">
        <v>0.04</v>
      </c>
    </row>
    <row r="18" customFormat="false" ht="15" hidden="false" customHeight="false" outlineLevel="0" collapsed="false">
      <c r="B18" s="9" t="s">
        <v>194</v>
      </c>
      <c r="C18" s="21" t="n">
        <v>0.09</v>
      </c>
    </row>
    <row r="19" customFormat="false" ht="15" hidden="false" customHeight="false" outlineLevel="0" collapsed="false">
      <c r="B19" s="9" t="s">
        <v>195</v>
      </c>
      <c r="C19" s="12" t="n">
        <v>0.45</v>
      </c>
    </row>
    <row r="20" customFormat="false" ht="15" hidden="false" customHeight="false" outlineLevel="0" collapsed="false">
      <c r="B20" s="9" t="s">
        <v>196</v>
      </c>
      <c r="C20" s="38" t="n">
        <v>3</v>
      </c>
      <c r="D20" s="6" t="s">
        <v>197</v>
      </c>
    </row>
    <row r="21" customFormat="false" ht="15" hidden="false" customHeight="false" outlineLevel="0" collapsed="false">
      <c r="B21" s="9" t="s">
        <v>198</v>
      </c>
      <c r="C21" s="21" t="n">
        <v>0.03</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n">
        <v>7</v>
      </c>
      <c r="D23" s="39" t="n">
        <v>0.42</v>
      </c>
      <c r="E23" s="21" t="n">
        <v>-0.15</v>
      </c>
    </row>
    <row r="24" customFormat="false" ht="15" hidden="false" customHeight="false" outlineLevel="0" collapsed="false">
      <c r="B24" s="9" t="s">
        <v>65</v>
      </c>
      <c r="C24" s="24" t="n">
        <v>7</v>
      </c>
      <c r="D24" s="39" t="n">
        <v>0.36</v>
      </c>
      <c r="E24" s="21" t="n">
        <v>-0.1</v>
      </c>
    </row>
    <row r="25" customFormat="false" ht="15" hidden="false" customHeight="false" outlineLevel="0" collapsed="false">
      <c r="B25" s="9" t="s">
        <v>66</v>
      </c>
      <c r="C25" s="24" t="n">
        <v>6</v>
      </c>
      <c r="D25" s="39" t="n">
        <v>0.18</v>
      </c>
      <c r="E25" s="21" t="n">
        <v>-0.35</v>
      </c>
    </row>
    <row r="26" customFormat="false" ht="15" hidden="false" customHeight="false" outlineLevel="0" collapsed="false">
      <c r="B26" s="9" t="s">
        <v>202</v>
      </c>
      <c r="C26" s="38" t="n">
        <v>3</v>
      </c>
      <c r="D26" s="6" t="s">
        <v>197</v>
      </c>
    </row>
    <row r="27" customFormat="false" ht="15" hidden="false" customHeight="false" outlineLevel="0" collapsed="false">
      <c r="B27" s="9" t="s">
        <v>203</v>
      </c>
      <c r="C27" s="21" t="n">
        <v>0.03</v>
      </c>
    </row>
    <row r="28" customFormat="false" ht="15" hidden="false" customHeight="false" outlineLevel="0" collapsed="false">
      <c r="B28" s="9" t="s">
        <v>204</v>
      </c>
      <c r="C28" s="12" t="n">
        <v>0.25</v>
      </c>
    </row>
    <row r="29" customFormat="false" ht="15" hidden="false" customHeight="false" outlineLevel="0" collapsed="false">
      <c r="B29" s="9" t="s">
        <v>205</v>
      </c>
      <c r="C29" s="16" t="n">
        <v>4</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0.06</v>
      </c>
      <c r="K32" s="17" t="n">
        <f aca="false">IF(K$31=0,Assumptions!$C$6,Assumptions!$C$6+$C$6+IF(K$31&gt;=5,$C$7,0))</f>
        <v>0.06</v>
      </c>
      <c r="L32" s="17" t="n">
        <f aca="false">IF(L$31=0,Assumptions!$C$6,Assumptions!$C$6+$C$6+IF(L$31&gt;=5,$C$7,0))</f>
        <v>0.06</v>
      </c>
      <c r="M32" s="17" t="n">
        <f aca="false">IF(M$31=0,Assumptions!$C$6,Assumptions!$C$6+$C$6+IF(M$31&gt;=5,$C$7,0))</f>
        <v>0.06</v>
      </c>
      <c r="N32" s="17" t="n">
        <f aca="false">IF(N$31=0,Assumptions!$C$6,Assumptions!$C$6+$C$6+IF(N$31&gt;=5,$C$7,0))</f>
        <v>0.06</v>
      </c>
      <c r="O32" s="17" t="n">
        <f aca="false">IF(O$31=0,Assumptions!$C$6,Assumptions!$C$6+$C$6+IF(O$31&gt;=5,$C$7,0))</f>
        <v>0.06</v>
      </c>
      <c r="P32" s="17" t="n">
        <f aca="false">IF(P$31=0,Assumptions!$C$6,Assumptions!$C$6+$C$6+IF(P$31&gt;=5,$C$7,0))</f>
        <v>0.06</v>
      </c>
      <c r="Q32" s="17" t="n">
        <f aca="false">IF(Q$31=0,Assumptions!$C$6,Assumptions!$C$6+$C$6+IF(Q$31&gt;=5,$C$7,0))</f>
        <v>0.06</v>
      </c>
      <c r="R32" s="17" t="n">
        <f aca="false">IF(R$31=0,Assumptions!$C$6,Assumptions!$C$6+$C$6+IF(R$31&gt;=5,$C$7,0))</f>
        <v>0.06</v>
      </c>
      <c r="S32" s="17" t="n">
        <f aca="false">IF(S$31=0,Assumptions!$C$6,Assumptions!$C$6+$C$6+IF(S$31&gt;=5,$C$7,0))</f>
        <v>0.06</v>
      </c>
      <c r="T32" s="17" t="n">
        <f aca="false">IF(T$31=0,Assumptions!$C$6,Assumptions!$C$6+$C$6+IF(T$31&gt;=5,$C$7,0))</f>
        <v>0.06</v>
      </c>
      <c r="U32" s="17" t="n">
        <f aca="false">IF(U$31=0,Assumptions!$C$6,Assumptions!$C$6+$C$6+IF(U$31&gt;=5,$C$7,0))</f>
        <v>0.06</v>
      </c>
      <c r="V32" s="17" t="n">
        <f aca="false">IF(V$31=0,Assumptions!$C$6,Assumptions!$C$6+$C$6+IF(V$31&gt;=5,$C$7,0))</f>
        <v>0.06</v>
      </c>
      <c r="W32" s="17" t="n">
        <f aca="false">IF(W$31=0,Assumptions!$C$6,Assumptions!$C$6+$C$6+IF(W$31&gt;=5,$C$7,0))</f>
        <v>0.06</v>
      </c>
      <c r="X32" s="17" t="n">
        <f aca="false">IF(X$31=0,Assumptions!$C$6,Assumptions!$C$6+$C$6+IF(X$31&gt;=5,$C$7,0))</f>
        <v>0.06</v>
      </c>
      <c r="Y32" s="17" t="n">
        <f aca="false">IF(Y$31=0,Assumptions!$C$6,Assumptions!$C$6+$C$6+IF(Y$31&gt;=5,$C$7,0))</f>
        <v>0.06</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0.0865</v>
      </c>
    </row>
    <row r="37" customFormat="false" ht="15" hidden="false" customHeight="false" outlineLevel="0" collapsed="false">
      <c r="B37" s="9" t="s">
        <v>210</v>
      </c>
      <c r="J37" s="33" t="n">
        <f aca="false">IF(AND(J$31&gt;=5,J$31&lt;=8),$C$18,$C$17)</f>
        <v>0.04</v>
      </c>
      <c r="K37" s="33" t="n">
        <f aca="false">IF(AND(K$31&gt;=5,K$31&lt;=8),$C$18,$C$17)</f>
        <v>0.04</v>
      </c>
      <c r="L37" s="33" t="n">
        <f aca="false">IF(AND(L$31&gt;=5,L$31&lt;=8),$C$18,$C$17)</f>
        <v>0.04</v>
      </c>
      <c r="M37" s="33" t="n">
        <f aca="false">IF(AND(M$31&gt;=5,M$31&lt;=8),$C$18,$C$17)</f>
        <v>0.04</v>
      </c>
      <c r="N37" s="33" t="n">
        <f aca="false">IF(AND(N$31&gt;=5,N$31&lt;=8),$C$18,$C$17)</f>
        <v>0.09</v>
      </c>
      <c r="O37" s="33" t="n">
        <f aca="false">IF(AND(O$31&gt;=5,O$31&lt;=8),$C$18,$C$17)</f>
        <v>0.09</v>
      </c>
      <c r="P37" s="33" t="n">
        <f aca="false">IF(AND(P$31&gt;=5,P$31&lt;=8),$C$18,$C$17)</f>
        <v>0.09</v>
      </c>
      <c r="Q37" s="33" t="n">
        <f aca="false">IF(AND(Q$31&gt;=5,Q$31&lt;=8),$C$18,$C$17)</f>
        <v>0.09</v>
      </c>
      <c r="R37" s="33" t="n">
        <f aca="false">IF(AND(R$31&gt;=5,R$31&lt;=8),$C$18,$C$17)</f>
        <v>0.04</v>
      </c>
      <c r="S37" s="33" t="n">
        <f aca="false">IF(AND(S$31&gt;=5,S$31&lt;=8),$C$18,$C$17)</f>
        <v>0.04</v>
      </c>
      <c r="T37" s="33" t="n">
        <f aca="false">IF(AND(T$31&gt;=5,T$31&lt;=8),$C$18,$C$17)</f>
        <v>0.04</v>
      </c>
      <c r="U37" s="33" t="n">
        <f aca="false">IF(AND(U$31&gt;=5,U$31&lt;=8),$C$18,$C$17)</f>
        <v>0.04</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0.45</v>
      </c>
      <c r="O38" s="22" t="n">
        <f aca="false">IF(AND(O$31&gt;=5,O$31&lt;=8),$C$19,Assumptions!$C$45)</f>
        <v>0.45</v>
      </c>
      <c r="P38" s="22" t="n">
        <f aca="false">IF(AND(P$31&gt;=5,P$31&lt;=8),$C$19,Assumptions!$C$45)</f>
        <v>0.45</v>
      </c>
      <c r="Q38" s="22" t="n">
        <f aca="false">IF(AND(Q$31&gt;=5,Q$31&lt;=8),$C$19,Assumptions!$C$45)</f>
        <v>0.45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0.21625</v>
      </c>
      <c r="K39" s="42" t="n">
        <f aca="false">J40*(K32+Assumptions!$C$42-Assumptions!$C$43)/4</f>
        <v>0.215493125</v>
      </c>
      <c r="L39" s="42" t="n">
        <f aca="false">K40*(L32+Assumptions!$C$42-Assumptions!$C$43)/4</f>
        <v>0.2147388990625</v>
      </c>
      <c r="M39" s="42" t="n">
        <f aca="false">L40*(M32+Assumptions!$C$42-Assumptions!$C$43)/4</f>
        <v>0.213987312915781</v>
      </c>
      <c r="N39" s="42" t="n">
        <f aca="false">M40*(N32+Assumptions!$C$42-Assumptions!$C$43)/4</f>
        <v>0.213238357320576</v>
      </c>
      <c r="O39" s="42" t="n">
        <f aca="false">N40*(O32+Assumptions!$C$42-Assumptions!$C$43)/4</f>
        <v>0.211079318952705</v>
      </c>
      <c r="P39" s="42" t="n">
        <f aca="false">O40*(P32+Assumptions!$C$42-Assumptions!$C$43)/4</f>
        <v>0.208942140848309</v>
      </c>
      <c r="Q39" s="42" t="n">
        <f aca="false">P40*(Q32+Assumptions!$C$42-Assumptions!$C$43)/4</f>
        <v>0.20682660167222</v>
      </c>
      <c r="R39" s="42" t="n">
        <f aca="false">Q40*(R32+Assumptions!$C$42-Assumptions!$C$43)/4</f>
        <v>0.204732482330289</v>
      </c>
      <c r="S39" s="42" t="n">
        <f aca="false">R40*(S32+Assumptions!$C$42-Assumptions!$C$43)/4</f>
        <v>0.204015918642133</v>
      </c>
      <c r="T39" s="42" t="n">
        <f aca="false">S40*(T32+Assumptions!$C$42-Assumptions!$C$43)/4</f>
        <v>0.203301862926885</v>
      </c>
      <c r="U39" s="42" t="n">
        <f aca="false">T40*(U32+Assumptions!$C$42-Assumptions!$C$43)/4</f>
        <v>0.202590306406641</v>
      </c>
    </row>
    <row r="40" customFormat="false" ht="15" hidden="false" customHeight="false" outlineLevel="0" collapsed="false">
      <c r="B40" s="9" t="s">
        <v>212</v>
      </c>
      <c r="I40" s="36" t="n">
        <f aca="false">Assumptions!$C$41</f>
        <v>10</v>
      </c>
      <c r="J40" s="36" t="n">
        <f aca="false">I40*(1-J37*J38/4)</f>
        <v>9.965</v>
      </c>
      <c r="K40" s="36" t="n">
        <f aca="false">J40*(1-K37*K38/4)</f>
        <v>9.9301225</v>
      </c>
      <c r="L40" s="36" t="n">
        <f aca="false">K40*(1-L37*L38/4)</f>
        <v>9.89536707125</v>
      </c>
      <c r="M40" s="36" t="n">
        <f aca="false">L40*(1-M37*M38/4)</f>
        <v>9.86073328650063</v>
      </c>
      <c r="N40" s="36" t="n">
        <f aca="false">M40*(1-N37*N38/4)</f>
        <v>9.76089336197481</v>
      </c>
      <c r="O40" s="36" t="n">
        <f aca="false">N40*(1-O37*O38/4)</f>
        <v>9.66206431668481</v>
      </c>
      <c r="P40" s="36" t="n">
        <f aca="false">O40*(1-P37*P38/4)</f>
        <v>9.56423591547838</v>
      </c>
      <c r="Q40" s="36" t="n">
        <f aca="false">P40*(1-Q37*Q38/4)</f>
        <v>9.46739802683416</v>
      </c>
      <c r="R40" s="36" t="n">
        <f aca="false">Q40*(1-R37*R38/4)</f>
        <v>9.43426213374024</v>
      </c>
      <c r="S40" s="36" t="n">
        <f aca="false">R40*(1-S37*S38/4)</f>
        <v>9.40124221627215</v>
      </c>
      <c r="T40" s="36" t="n">
        <f aca="false">S40*(1-T37*T38/4)</f>
        <v>9.3683378685152</v>
      </c>
      <c r="U40" s="36" t="n">
        <f aca="false">T40*(1-U37*U38/4)</f>
        <v>9.33554868597539</v>
      </c>
    </row>
    <row r="41" customFormat="false" ht="15" hidden="false" customHeight="false" outlineLevel="0" collapsed="false">
      <c r="B41" s="9" t="s">
        <v>213</v>
      </c>
      <c r="C41" s="26" t="n">
        <f aca="false">$C$35*SUM(J39:U39)</f>
        <v>18863.9724455853</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0.042</v>
      </c>
      <c r="O46" s="33" t="n">
        <f aca="false">IF(O$31&lt;=4,Assumptions!$C$60,IF(O$31&lt;=8,Assumptions!$C$61,Assumptions!$C$62))+IF(O$31&gt;=5,$C$21,0)</f>
        <v>0.042</v>
      </c>
      <c r="P46" s="33" t="n">
        <f aca="false">IF(P$31&lt;=4,Assumptions!$C$60,IF(P$31&lt;=8,Assumptions!$C$61,Assumptions!$C$62))+IF(P$31&gt;=5,$C$21,0)</f>
        <v>0.042</v>
      </c>
      <c r="Q46" s="33" t="n">
        <f aca="false">IF(Q$31&lt;=4,Assumptions!$C$60,IF(Q$31&lt;=8,Assumptions!$C$61,Assumptions!$C$62))+IF(Q$31&gt;=5,$C$21,0)</f>
        <v>0.042</v>
      </c>
      <c r="R46" s="33" t="n">
        <f aca="false">IF(R$31&lt;=4,Assumptions!$C$60,IF(R$31&lt;=8,Assumptions!$C$61,Assumptions!$C$62))+IF(R$31&gt;=5,$C$21,0)</f>
        <v>0.042</v>
      </c>
      <c r="S46" s="33" t="n">
        <f aca="false">IF(S$31&lt;=4,Assumptions!$C$60,IF(S$31&lt;=8,Assumptions!$C$61,Assumptions!$C$62))+IF(S$31&gt;=5,$C$21,0)</f>
        <v>0.042</v>
      </c>
      <c r="T46" s="33" t="n">
        <f aca="false">IF(T$31&lt;=4,Assumptions!$C$60,IF(T$31&lt;=8,Assumptions!$C$61,Assumptions!$C$62))+IF(T$31&gt;=5,$C$21,0)</f>
        <v>0.042</v>
      </c>
      <c r="U46" s="33" t="n">
        <f aca="false">IF(U$31&lt;=4,Assumptions!$C$60,IF(U$31&lt;=8,Assumptions!$C$61,Assumptions!$C$62))+IF(U$31&gt;=5,$C$21,0)</f>
        <v>0.042</v>
      </c>
    </row>
    <row r="47" customFormat="false" ht="15" hidden="false" customHeight="false" outlineLevel="0" collapsed="false">
      <c r="B47" s="9" t="s">
        <v>217</v>
      </c>
      <c r="J47" s="17" t="n">
        <f aca="false">J32+Assumptions!$C$53</f>
        <v>0.129</v>
      </c>
      <c r="K47" s="17" t="n">
        <f aca="false">K32+Assumptions!$C$53</f>
        <v>0.129</v>
      </c>
      <c r="L47" s="17" t="n">
        <f aca="false">L32+Assumptions!$C$53</f>
        <v>0.129</v>
      </c>
      <c r="M47" s="17" t="n">
        <f aca="false">M32+Assumptions!$C$53</f>
        <v>0.129</v>
      </c>
      <c r="N47" s="17" t="n">
        <f aca="false">N32+Assumptions!$C$53</f>
        <v>0.129</v>
      </c>
      <c r="O47" s="17" t="n">
        <f aca="false">O32+Assumptions!$C$53</f>
        <v>0.129</v>
      </c>
      <c r="P47" s="17" t="n">
        <f aca="false">P32+Assumptions!$C$53</f>
        <v>0.129</v>
      </c>
      <c r="Q47" s="17" t="n">
        <f aca="false">Q32+Assumptions!$C$53</f>
        <v>0.129</v>
      </c>
      <c r="R47" s="17" t="n">
        <f aca="false">R32+Assumptions!$C$53</f>
        <v>0.129</v>
      </c>
      <c r="S47" s="17" t="n">
        <f aca="false">S32+Assumptions!$C$53</f>
        <v>0.129</v>
      </c>
      <c r="T47" s="17" t="n">
        <f aca="false">T32+Assumptions!$C$53</f>
        <v>0.129</v>
      </c>
      <c r="U47" s="17" t="n">
        <f aca="false">U32+Assumptions!$C$53</f>
        <v>0.129</v>
      </c>
    </row>
    <row r="48" customFormat="false" ht="15" hidden="false" customHeight="false" outlineLevel="0" collapsed="false">
      <c r="B48" s="9" t="s">
        <v>218</v>
      </c>
      <c r="J48" s="17" t="n">
        <f aca="false">J47*(1-J46)*(1+Assumptions!$C$54)-Assumptions!$C$55*Assumptions!$C$54-Assumptions!$C$56*(1+Assumptions!$C$54)-Assumptions!$C$57</f>
        <v>0.161691</v>
      </c>
      <c r="K48" s="17" t="n">
        <f aca="false">K47*(1-K46)*(1+Assumptions!$C$54)-Assumptions!$C$55*Assumptions!$C$54-Assumptions!$C$56*(1+Assumptions!$C$54)-Assumptions!$C$57</f>
        <v>0.161691</v>
      </c>
      <c r="L48" s="17" t="n">
        <f aca="false">L47*(1-L46)*(1+Assumptions!$C$54)-Assumptions!$C$55*Assumptions!$C$54-Assumptions!$C$56*(1+Assumptions!$C$54)-Assumptions!$C$57</f>
        <v>0.161691</v>
      </c>
      <c r="M48" s="17" t="n">
        <f aca="false">M47*(1-M46)*(1+Assumptions!$C$54)-Assumptions!$C$55*Assumptions!$C$54-Assumptions!$C$56*(1+Assumptions!$C$54)-Assumptions!$C$57</f>
        <v>0.161691</v>
      </c>
      <c r="N48" s="17" t="n">
        <f aca="false">N47*(1-N46)*(1+Assumptions!$C$54)-Assumptions!$C$55*Assumptions!$C$54-Assumptions!$C$56*(1+Assumptions!$C$54)-Assumptions!$C$57</f>
        <v>0.1530222</v>
      </c>
      <c r="O48" s="17" t="n">
        <f aca="false">O47*(1-O46)*(1+Assumptions!$C$54)-Assumptions!$C$55*Assumptions!$C$54-Assumptions!$C$56*(1+Assumptions!$C$54)-Assumptions!$C$57</f>
        <v>0.1530222</v>
      </c>
      <c r="P48" s="17" t="n">
        <f aca="false">P47*(1-P46)*(1+Assumptions!$C$54)-Assumptions!$C$55*Assumptions!$C$54-Assumptions!$C$56*(1+Assumptions!$C$54)-Assumptions!$C$57</f>
        <v>0.1530222</v>
      </c>
      <c r="Q48" s="17" t="n">
        <f aca="false">Q47*(1-Q46)*(1+Assumptions!$C$54)-Assumptions!$C$55*Assumptions!$C$54-Assumptions!$C$56*(1+Assumptions!$C$54)-Assumptions!$C$57</f>
        <v>0.1530222</v>
      </c>
      <c r="R48" s="17" t="n">
        <f aca="false">R47*(1-R46)*(1+Assumptions!$C$54)-Assumptions!$C$55*Assumptions!$C$54-Assumptions!$C$56*(1+Assumptions!$C$54)-Assumptions!$C$57</f>
        <v>0.1530222</v>
      </c>
      <c r="S48" s="17" t="n">
        <f aca="false">S47*(1-S46)*(1+Assumptions!$C$54)-Assumptions!$C$55*Assumptions!$C$54-Assumptions!$C$56*(1+Assumptions!$C$54)-Assumptions!$C$57</f>
        <v>0.1530222</v>
      </c>
      <c r="T48" s="17" t="n">
        <f aca="false">T47*(1-T46)*(1+Assumptions!$C$54)-Assumptions!$C$55*Assumptions!$C$54-Assumptions!$C$56*(1+Assumptions!$C$54)-Assumptions!$C$57</f>
        <v>0.1530222</v>
      </c>
      <c r="U48" s="17" t="n">
        <f aca="false">U47*(1-U46)*(1+Assumptions!$C$54)-Assumptions!$C$55*Assumptions!$C$54-Assumptions!$C$56*(1+Assumptions!$C$54)-Assumptions!$C$57</f>
        <v>0.1530222</v>
      </c>
    </row>
    <row r="49" customFormat="false" ht="15" hidden="false" customHeight="false" outlineLevel="0" collapsed="false">
      <c r="B49" s="9" t="s">
        <v>219</v>
      </c>
      <c r="J49" s="17" t="n">
        <f aca="false">J48*(1-Assumptions!$C$58)</f>
        <v>0.133395075</v>
      </c>
      <c r="K49" s="17" t="n">
        <f aca="false">K48*(1-Assumptions!$C$58)</f>
        <v>0.133395075</v>
      </c>
      <c r="L49" s="17" t="n">
        <f aca="false">L48*(1-Assumptions!$C$58)</f>
        <v>0.133395075</v>
      </c>
      <c r="M49" s="17" t="n">
        <f aca="false">M48*(1-Assumptions!$C$58)</f>
        <v>0.133395075</v>
      </c>
      <c r="N49" s="17" t="n">
        <f aca="false">N48*(1-Assumptions!$C$58)</f>
        <v>0.126243315</v>
      </c>
      <c r="O49" s="17" t="n">
        <f aca="false">O48*(1-Assumptions!$C$58)</f>
        <v>0.126243315</v>
      </c>
      <c r="P49" s="17" t="n">
        <f aca="false">P48*(1-Assumptions!$C$58)</f>
        <v>0.126243315</v>
      </c>
      <c r="Q49" s="17" t="n">
        <f aca="false">Q48*(1-Assumptions!$C$58)</f>
        <v>0.126243315</v>
      </c>
      <c r="R49" s="17" t="n">
        <f aca="false">R48*(1-Assumptions!$C$58)</f>
        <v>0.126243315</v>
      </c>
      <c r="S49" s="17" t="n">
        <f aca="false">S48*(1-Assumptions!$C$58)</f>
        <v>0.126243315</v>
      </c>
      <c r="T49" s="17" t="n">
        <f aca="false">T48*(1-Assumptions!$C$58)</f>
        <v>0.126243315</v>
      </c>
      <c r="U49" s="17" t="n">
        <f aca="false">U48*(1-Assumptions!$C$58)</f>
        <v>0.126243315</v>
      </c>
    </row>
    <row r="50" customFormat="false" ht="15" hidden="false" customHeight="false" outlineLevel="0" collapsed="false">
      <c r="B50" s="9" t="s">
        <v>220</v>
      </c>
      <c r="J50" s="36" t="n">
        <f aca="false">I53*J49/4</f>
        <v>0.666975375</v>
      </c>
      <c r="K50" s="36" t="n">
        <f aca="false">J53*K49/4</f>
        <v>0.672210310480319</v>
      </c>
      <c r="L50" s="36" t="n">
        <f aca="false">K53*L49/4</f>
        <v>0.677611972210173</v>
      </c>
      <c r="M50" s="36" t="n">
        <f aca="false">L53*M49/4</f>
        <v>0.683185670215326</v>
      </c>
      <c r="N50" s="36" t="n">
        <f aca="false">M53*N49/4</f>
        <v>0.652000653070572</v>
      </c>
      <c r="O50" s="36" t="n">
        <f aca="false">N53*O49/4</f>
        <v>0.654495133288203</v>
      </c>
      <c r="P50" s="36" t="n">
        <f aca="false">O53*P49/4</f>
        <v>0.657057116207824</v>
      </c>
      <c r="Q50" s="36" t="n">
        <f aca="false">P53*Q49/4</f>
        <v>0.661582078233493</v>
      </c>
      <c r="R50" s="36" t="n">
        <f aca="false">Q53*R49/4</f>
        <v>0.666229489481638</v>
      </c>
      <c r="S50" s="36" t="n">
        <f aca="false">R53*S49/4</f>
        <v>0.673001351998146</v>
      </c>
      <c r="T50" s="36" t="n">
        <f aca="false">S53*T49/4</f>
        <v>0.67997678231408</v>
      </c>
      <c r="U50" s="36" t="n">
        <f aca="false">T53*U49/4</f>
        <v>0.6871618998462</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0.42</v>
      </c>
      <c r="Q51" s="19" t="n">
        <f aca="false">IF(ISNUMBER($C$23),IF(Q$31&gt;=$C$23,$D$23,IF(ISNUMBER(Assumptions!$C$63),IF(Q$31&gt;=Assumptions!$C$63,Assumptions!$C$64,Assumptions!$C$52),Assumptions!$C$52)),IF(ISNUMBER(Assumptions!$C$63),IF(Q$31&gt;=Assumptions!$C$63,Assumptions!$C$64,Assumptions!$C$52),Assumptions!$C$52))</f>
        <v>0.42</v>
      </c>
      <c r="R51" s="19" t="n">
        <f aca="false">IF(ISNUMBER($C$23),IF(R$31&gt;=$C$23,$D$23,IF(ISNUMBER(Assumptions!$C$63),IF(R$31&gt;=Assumptions!$C$63,Assumptions!$C$64,Assumptions!$C$52),Assumptions!$C$52)),IF(ISNUMBER(Assumptions!$C$63),IF(R$31&gt;=Assumptions!$C$63,Assumptions!$C$64,Assumptions!$C$52),Assumptions!$C$52))</f>
        <v>0.42</v>
      </c>
      <c r="S51" s="19" t="n">
        <f aca="false">IF(ISNUMBER($C$23),IF(S$31&gt;=$C$23,$D$23,IF(ISNUMBER(Assumptions!$C$63),IF(S$31&gt;=Assumptions!$C$63,Assumptions!$C$64,Assumptions!$C$52),Assumptions!$C$52)),IF(ISNUMBER(Assumptions!$C$63),IF(S$31&gt;=Assumptions!$C$63,Assumptions!$C$64,Assumptions!$C$52),Assumptions!$C$52))</f>
        <v>0.42</v>
      </c>
      <c r="T51" s="19" t="n">
        <f aca="false">IF(ISNUMBER($C$23),IF(T$31&gt;=$C$23,$D$23,IF(ISNUMBER(Assumptions!$C$63),IF(T$31&gt;=Assumptions!$C$63,Assumptions!$C$64,Assumptions!$C$52),Assumptions!$C$52)),IF(ISNUMBER(Assumptions!$C$63),IF(T$31&gt;=Assumptions!$C$63,Assumptions!$C$64,Assumptions!$C$52),Assumptions!$C$52))</f>
        <v>0.42</v>
      </c>
      <c r="U51" s="19" t="n">
        <f aca="false">IF(ISNUMBER($C$23),IF(U$31&gt;=$C$23,$D$23,IF(ISNUMBER(Assumptions!$C$63),IF(U$31&gt;=Assumptions!$C$63,Assumptions!$C$64,Assumptions!$C$52),Assumptions!$C$52)),IF(ISNUMBER(Assumptions!$C$63),IF(U$31&gt;=Assumptions!$C$63,Assumptions!$C$64,Assumptions!$C$52),Assumptions!$C$52))</f>
        <v>0.42</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0.018</v>
      </c>
      <c r="O52" s="17" t="n">
        <f aca="false">Assumptions!$C$59*IF(AND(O$31&gt;=5,O$31&lt;=8),$C$20,1)</f>
        <v>0.018</v>
      </c>
      <c r="P52" s="17" t="n">
        <f aca="false">Assumptions!$C$59*IF(AND(P$31&gt;=5,P$31&lt;=8),$C$20,1)</f>
        <v>0.018</v>
      </c>
      <c r="Q52" s="17" t="n">
        <f aca="false">Assumptions!$C$59*IF(AND(Q$31&gt;=5,Q$31&lt;=8),$C$20,1)</f>
        <v>0.018</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20.156975375</v>
      </c>
      <c r="K53" s="36" t="n">
        <f aca="false">J53+K50-K51-J53*K52/4</f>
        <v>20.3189502224178</v>
      </c>
      <c r="L53" s="36" t="n">
        <f aca="false">K53+L50-L51-K53*L52/4</f>
        <v>20.4860837692944</v>
      </c>
      <c r="M53" s="36" t="n">
        <f aca="false">L53+M50-M51-L53*M52/4</f>
        <v>20.6585403138558</v>
      </c>
      <c r="N53" s="36" t="n">
        <f aca="false">M53+N50-N51-M53*N52/4</f>
        <v>20.737577535514</v>
      </c>
      <c r="O53" s="36" t="n">
        <f aca="false">N53+O50-O51-N53*O52/4</f>
        <v>20.8187535698924</v>
      </c>
      <c r="P53" s="36" t="n">
        <f aca="false">O53+P50-P51-O53*P52/4</f>
        <v>20.9621262950357</v>
      </c>
      <c r="Q53" s="36" t="n">
        <f aca="false">P53+Q50-Q51-P53*Q52/4</f>
        <v>21.1093788049415</v>
      </c>
      <c r="R53" s="36" t="n">
        <f aca="false">Q53+R50-R51-Q53*R52/4</f>
        <v>21.3239442262157</v>
      </c>
      <c r="S53" s="36" t="n">
        <f aca="false">R53+S50-S51-R53*S52/4</f>
        <v>21.5449596618745</v>
      </c>
      <c r="T53" s="36" t="n">
        <f aca="false">S53+T50-T51-S53*T52/4</f>
        <v>21.7726190046958</v>
      </c>
      <c r="U53" s="36" t="n">
        <f aca="false">T53+U50-U51-T53*U52/4</f>
        <v>22.007121976035</v>
      </c>
    </row>
    <row r="54" customFormat="false" ht="15" hidden="false" customHeight="false" outlineLevel="0" collapsed="false">
      <c r="B54" s="9" t="s">
        <v>224</v>
      </c>
      <c r="J54" s="22" t="n">
        <f aca="false">J50/J51</f>
        <v>1.38953203125</v>
      </c>
      <c r="K54" s="22" t="n">
        <f aca="false">K50/K51</f>
        <v>1.400438146834</v>
      </c>
      <c r="L54" s="22" t="n">
        <f aca="false">L50/L51</f>
        <v>1.41169160877119</v>
      </c>
      <c r="M54" s="22" t="n">
        <f aca="false">M50/M51</f>
        <v>1.42330347961526</v>
      </c>
      <c r="N54" s="22" t="n">
        <f aca="false">N50/N51</f>
        <v>1.35833469389703</v>
      </c>
      <c r="O54" s="22" t="n">
        <f aca="false">O50/O51</f>
        <v>1.36353152768376</v>
      </c>
      <c r="P54" s="22" t="n">
        <f aca="false">P50/P51</f>
        <v>1.56442170525672</v>
      </c>
      <c r="Q54" s="22" t="n">
        <f aca="false">Q50/Q51</f>
        <v>1.57519542436546</v>
      </c>
      <c r="R54" s="22" t="n">
        <f aca="false">R50/R51</f>
        <v>1.586260689242</v>
      </c>
      <c r="S54" s="22" t="n">
        <f aca="false">S50/S51</f>
        <v>1.60238417142416</v>
      </c>
      <c r="T54" s="22" t="n">
        <f aca="false">T50/T51</f>
        <v>1.61899233884305</v>
      </c>
      <c r="U54" s="22" t="n">
        <f aca="false">U50/U51</f>
        <v>1.63609976153857</v>
      </c>
    </row>
    <row r="55" customFormat="false" ht="15" hidden="false" customHeight="false" outlineLevel="0" collapsed="false">
      <c r="B55" s="9" t="s">
        <v>225</v>
      </c>
      <c r="C55" s="36" t="n">
        <f aca="false">U53*(1+$E$23)</f>
        <v>18.7060536796297</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0.038</v>
      </c>
      <c r="O60" s="33" t="n">
        <f aca="false">IF(O$31&lt;=4,Assumptions!$D$60,IF(O$31&lt;=8,Assumptions!$D$61,Assumptions!$D$62))+IF(O$31&gt;=5,$C$21,0)</f>
        <v>0.038</v>
      </c>
      <c r="P60" s="33" t="n">
        <f aca="false">IF(P$31&lt;=4,Assumptions!$D$60,IF(P$31&lt;=8,Assumptions!$D$61,Assumptions!$D$62))+IF(P$31&gt;=5,$C$21,0)</f>
        <v>0.038</v>
      </c>
      <c r="Q60" s="33" t="n">
        <f aca="false">IF(Q$31&lt;=4,Assumptions!$D$60,IF(Q$31&lt;=8,Assumptions!$D$61,Assumptions!$D$62))+IF(Q$31&gt;=5,$C$21,0)</f>
        <v>0.038</v>
      </c>
      <c r="R60" s="33" t="n">
        <f aca="false">IF(R$31&lt;=4,Assumptions!$D$60,IF(R$31&lt;=8,Assumptions!$D$61,Assumptions!$D$62))+IF(R$31&gt;=5,$C$21,0)</f>
        <v>0.04</v>
      </c>
      <c r="S60" s="33" t="n">
        <f aca="false">IF(S$31&lt;=4,Assumptions!$D$60,IF(S$31&lt;=8,Assumptions!$D$61,Assumptions!$D$62))+IF(S$31&gt;=5,$C$21,0)</f>
        <v>0.04</v>
      </c>
      <c r="T60" s="33" t="n">
        <f aca="false">IF(T$31&lt;=4,Assumptions!$D$60,IF(T$31&lt;=8,Assumptions!$D$61,Assumptions!$D$62))+IF(T$31&gt;=5,$C$21,0)</f>
        <v>0.04</v>
      </c>
      <c r="U60" s="33" t="n">
        <f aca="false">IF(U$31&lt;=4,Assumptions!$D$60,IF(U$31&lt;=8,Assumptions!$D$61,Assumptions!$D$62))+IF(U$31&gt;=5,$C$21,0)</f>
        <v>0.04</v>
      </c>
    </row>
    <row r="61" customFormat="false" ht="15" hidden="false" customHeight="false" outlineLevel="0" collapsed="false">
      <c r="B61" s="9" t="s">
        <v>217</v>
      </c>
      <c r="J61" s="17" t="n">
        <f aca="false">J32+Assumptions!$D$53</f>
        <v>0.12</v>
      </c>
      <c r="K61" s="17" t="n">
        <f aca="false">K32+Assumptions!$D$53</f>
        <v>0.12</v>
      </c>
      <c r="L61" s="17" t="n">
        <f aca="false">L32+Assumptions!$D$53</f>
        <v>0.12</v>
      </c>
      <c r="M61" s="17" t="n">
        <f aca="false">M32+Assumptions!$D$53</f>
        <v>0.12</v>
      </c>
      <c r="N61" s="17" t="n">
        <f aca="false">N32+Assumptions!$D$53</f>
        <v>0.12</v>
      </c>
      <c r="O61" s="17" t="n">
        <f aca="false">O32+Assumptions!$D$53</f>
        <v>0.12</v>
      </c>
      <c r="P61" s="17" t="n">
        <f aca="false">P32+Assumptions!$D$53</f>
        <v>0.12</v>
      </c>
      <c r="Q61" s="17" t="n">
        <f aca="false">Q32+Assumptions!$D$53</f>
        <v>0.12</v>
      </c>
      <c r="R61" s="17" t="n">
        <f aca="false">R32+Assumptions!$D$53</f>
        <v>0.12</v>
      </c>
      <c r="S61" s="17" t="n">
        <f aca="false">S32+Assumptions!$D$53</f>
        <v>0.12</v>
      </c>
      <c r="T61" s="17" t="n">
        <f aca="false">T32+Assumptions!$D$53</f>
        <v>0.12</v>
      </c>
      <c r="U61" s="17" t="n">
        <f aca="false">U32+Assumptions!$D$53</f>
        <v>0.12</v>
      </c>
    </row>
    <row r="62" customFormat="false" ht="15" hidden="false" customHeight="false" outlineLevel="0" collapsed="false">
      <c r="B62" s="9" t="s">
        <v>218</v>
      </c>
      <c r="J62" s="17" t="n">
        <f aca="false">J61*(1-J60)*(1+Assumptions!$D$54)-Assumptions!$D$55*Assumptions!$D$54-Assumptions!$D$56*(1+Assumptions!$D$54)-Assumptions!$D$57</f>
        <v>0.16008</v>
      </c>
      <c r="K62" s="17" t="n">
        <f aca="false">K61*(1-K60)*(1+Assumptions!$D$54)-Assumptions!$D$55*Assumptions!$D$54-Assumptions!$D$56*(1+Assumptions!$D$54)-Assumptions!$D$57</f>
        <v>0.16008</v>
      </c>
      <c r="L62" s="17" t="n">
        <f aca="false">L61*(1-L60)*(1+Assumptions!$D$54)-Assumptions!$D$55*Assumptions!$D$54-Assumptions!$D$56*(1+Assumptions!$D$54)-Assumptions!$D$57</f>
        <v>0.16008</v>
      </c>
      <c r="M62" s="17" t="n">
        <f aca="false">M61*(1-M60)*(1+Assumptions!$D$54)-Assumptions!$D$55*Assumptions!$D$54-Assumptions!$D$56*(1+Assumptions!$D$54)-Assumptions!$D$57</f>
        <v>0.16008</v>
      </c>
      <c r="N62" s="17" t="n">
        <f aca="false">N61*(1-N60)*(1+Assumptions!$D$54)-Assumptions!$D$55*Assumptions!$D$54-Assumptions!$D$56*(1+Assumptions!$D$54)-Assumptions!$D$57</f>
        <v>0.15288</v>
      </c>
      <c r="O62" s="17" t="n">
        <f aca="false">O61*(1-O60)*(1+Assumptions!$D$54)-Assumptions!$D$55*Assumptions!$D$54-Assumptions!$D$56*(1+Assumptions!$D$54)-Assumptions!$D$57</f>
        <v>0.15288</v>
      </c>
      <c r="P62" s="17" t="n">
        <f aca="false">P61*(1-P60)*(1+Assumptions!$D$54)-Assumptions!$D$55*Assumptions!$D$54-Assumptions!$D$56*(1+Assumptions!$D$54)-Assumptions!$D$57</f>
        <v>0.15288</v>
      </c>
      <c r="Q62" s="17" t="n">
        <f aca="false">Q61*(1-Q60)*(1+Assumptions!$D$54)-Assumptions!$D$55*Assumptions!$D$54-Assumptions!$D$56*(1+Assumptions!$D$54)-Assumptions!$D$57</f>
        <v>0.15288</v>
      </c>
      <c r="R62" s="17" t="n">
        <f aca="false">R61*(1-R60)*(1+Assumptions!$D$54)-Assumptions!$D$55*Assumptions!$D$54-Assumptions!$D$56*(1+Assumptions!$D$54)-Assumptions!$D$57</f>
        <v>0.1524</v>
      </c>
      <c r="S62" s="17" t="n">
        <f aca="false">S61*(1-S60)*(1+Assumptions!$D$54)-Assumptions!$D$55*Assumptions!$D$54-Assumptions!$D$56*(1+Assumptions!$D$54)-Assumptions!$D$57</f>
        <v>0.1524</v>
      </c>
      <c r="T62" s="17" t="n">
        <f aca="false">T61*(1-T60)*(1+Assumptions!$D$54)-Assumptions!$D$55*Assumptions!$D$54-Assumptions!$D$56*(1+Assumptions!$D$54)-Assumptions!$D$57</f>
        <v>0.1524</v>
      </c>
      <c r="U62" s="17" t="n">
        <f aca="false">U61*(1-U60)*(1+Assumptions!$D$54)-Assumptions!$D$55*Assumptions!$D$54-Assumptions!$D$56*(1+Assumptions!$D$54)-Assumptions!$D$57</f>
        <v>0.1524</v>
      </c>
    </row>
    <row r="63" customFormat="false" ht="15" hidden="false" customHeight="false" outlineLevel="0" collapsed="false">
      <c r="B63" s="9" t="s">
        <v>219</v>
      </c>
      <c r="J63" s="17" t="n">
        <f aca="false">J62*(1-Assumptions!$D$58)</f>
        <v>0.16008</v>
      </c>
      <c r="K63" s="17" t="n">
        <f aca="false">K62*(1-Assumptions!$D$58)</f>
        <v>0.16008</v>
      </c>
      <c r="L63" s="17" t="n">
        <f aca="false">L62*(1-Assumptions!$D$58)</f>
        <v>0.16008</v>
      </c>
      <c r="M63" s="17" t="n">
        <f aca="false">M62*(1-Assumptions!$D$58)</f>
        <v>0.16008</v>
      </c>
      <c r="N63" s="17" t="n">
        <f aca="false">N62*(1-Assumptions!$D$58)</f>
        <v>0.15288</v>
      </c>
      <c r="O63" s="17" t="n">
        <f aca="false">O62*(1-Assumptions!$D$58)</f>
        <v>0.15288</v>
      </c>
      <c r="P63" s="17" t="n">
        <f aca="false">P62*(1-Assumptions!$D$58)</f>
        <v>0.15288</v>
      </c>
      <c r="Q63" s="17" t="n">
        <f aca="false">Q62*(1-Assumptions!$D$58)</f>
        <v>0.15288</v>
      </c>
      <c r="R63" s="17" t="n">
        <f aca="false">R62*(1-Assumptions!$D$58)</f>
        <v>0.1524</v>
      </c>
      <c r="S63" s="17" t="n">
        <f aca="false">S62*(1-Assumptions!$D$58)</f>
        <v>0.1524</v>
      </c>
      <c r="T63" s="17" t="n">
        <f aca="false">T62*(1-Assumptions!$D$58)</f>
        <v>0.1524</v>
      </c>
      <c r="U63" s="17" t="n">
        <f aca="false">U62*(1-Assumptions!$D$58)</f>
        <v>0.1524</v>
      </c>
    </row>
    <row r="64" customFormat="false" ht="15" hidden="false" customHeight="false" outlineLevel="0" collapsed="false">
      <c r="B64" s="9" t="s">
        <v>220</v>
      </c>
      <c r="J64" s="36" t="n">
        <f aca="false">I67*J63/4</f>
        <v>0.56028</v>
      </c>
      <c r="K64" s="36" t="n">
        <f aca="false">J67*K63/4</f>
        <v>0.5659940556</v>
      </c>
      <c r="L64" s="36" t="n">
        <f aca="false">K67*L63/4</f>
        <v>0.571929645135612</v>
      </c>
      <c r="M64" s="36" t="n">
        <f aca="false">L67*M63/4</f>
        <v>0.57809535747752</v>
      </c>
      <c r="N64" s="36" t="n">
        <f aca="false">M67*N63/4</f>
        <v>0.558210754015247</v>
      </c>
      <c r="O64" s="36" t="n">
        <f aca="false">N67*O63/4</f>
        <v>0.562164278706153</v>
      </c>
      <c r="P64" s="36" t="n">
        <f aca="false">O67*P63/4</f>
        <v>0.566254081393154</v>
      </c>
      <c r="Q64" s="36" t="n">
        <f aca="false">P67*Q63/4</f>
        <v>0.572013659578776</v>
      </c>
      <c r="R64" s="36" t="n">
        <f aca="false">Q67*R63/4</f>
        <v>0.576157102385447</v>
      </c>
      <c r="S64" s="36" t="n">
        <f aca="false">R67*S63/4</f>
        <v>0.583672491608351</v>
      </c>
      <c r="T64" s="36" t="n">
        <f aca="false">S67*T63/4</f>
        <v>0.591464822924119</v>
      </c>
      <c r="U64" s="36" t="n">
        <f aca="false">T67*U63/4</f>
        <v>0.599544301648872</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0.36</v>
      </c>
      <c r="Q65" s="19" t="n">
        <f aca="false">IF(ISNUMBER($C$24),IF(Q$31&gt;=$C$24,$D$24,IF(ISNUMBER(Assumptions!$D$63),IF(Q$31&gt;=Assumptions!$D$63,Assumptions!$D$64,Assumptions!$D$52),Assumptions!$D$52)),IF(ISNUMBER(Assumptions!$D$63),IF(Q$31&gt;=Assumptions!$D$63,Assumptions!$D$64,Assumptions!$D$52),Assumptions!$D$52))</f>
        <v>0.36</v>
      </c>
      <c r="R65" s="19" t="n">
        <f aca="false">IF(ISNUMBER($C$24),IF(R$31&gt;=$C$24,$D$24,IF(ISNUMBER(Assumptions!$D$63),IF(R$31&gt;=Assumptions!$D$63,Assumptions!$D$64,Assumptions!$D$52),Assumptions!$D$52)),IF(ISNUMBER(Assumptions!$D$63),IF(R$31&gt;=Assumptions!$D$63,Assumptions!$D$64,Assumptions!$D$52),Assumptions!$D$52))</f>
        <v>0.36</v>
      </c>
      <c r="S65" s="19" t="n">
        <f aca="false">IF(ISNUMBER($C$24),IF(S$31&gt;=$C$24,$D$24,IF(ISNUMBER(Assumptions!$D$63),IF(S$31&gt;=Assumptions!$D$63,Assumptions!$D$64,Assumptions!$D$52),Assumptions!$D$52)),IF(ISNUMBER(Assumptions!$D$63),IF(S$31&gt;=Assumptions!$D$63,Assumptions!$D$64,Assumptions!$D$52),Assumptions!$D$52))</f>
        <v>0.36</v>
      </c>
      <c r="T65" s="19" t="n">
        <f aca="false">IF(ISNUMBER($C$24),IF(T$31&gt;=$C$24,$D$24,IF(ISNUMBER(Assumptions!$D$63),IF(T$31&gt;=Assumptions!$D$63,Assumptions!$D$64,Assumptions!$D$52),Assumptions!$D$52)),IF(ISNUMBER(Assumptions!$D$63),IF(T$31&gt;=Assumptions!$D$63,Assumptions!$D$64,Assumptions!$D$52),Assumptions!$D$52))</f>
        <v>0.36</v>
      </c>
      <c r="U65" s="19" t="n">
        <f aca="false">IF(ISNUMBER($C$24),IF(U$31&gt;=$C$24,$D$24,IF(ISNUMBER(Assumptions!$D$63),IF(U$31&gt;=Assumptions!$D$63,Assumptions!$D$64,Assumptions!$D$52),Assumptions!$D$52)),IF(ISNUMBER(Assumptions!$D$63),IF(U$31&gt;=Assumptions!$D$63,Assumptions!$D$64,Assumptions!$D$52),Assumptions!$D$52))</f>
        <v>0.36</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0.015</v>
      </c>
      <c r="O66" s="17" t="n">
        <f aca="false">Assumptions!$D$59*IF(AND(O$31&gt;=5,O$31&lt;=8),$C$20,1)</f>
        <v>0.015</v>
      </c>
      <c r="P66" s="17" t="n">
        <f aca="false">Assumptions!$D$59*IF(AND(P$31&gt;=5,P$31&lt;=8),$C$20,1)</f>
        <v>0.015</v>
      </c>
      <c r="Q66" s="17" t="n">
        <f aca="false">Assumptions!$D$59*IF(AND(Q$31&gt;=5,Q$31&lt;=8),$C$20,1)</f>
        <v>0.015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14.14278</v>
      </c>
      <c r="K67" s="36" t="n">
        <f aca="false">J67+K64-K65-J67*K66/4</f>
        <v>14.2910955806</v>
      </c>
      <c r="L67" s="36" t="n">
        <f aca="false">K67+L64-L65-K67*L66/4</f>
        <v>14.4451613562599</v>
      </c>
      <c r="M67" s="36" t="n">
        <f aca="false">L67+M64-M65-L67*M66/4</f>
        <v>14.6052002620421</v>
      </c>
      <c r="N67" s="36" t="n">
        <f aca="false">M67+N64-N65-M67*N66/4</f>
        <v>14.7086415150746</v>
      </c>
      <c r="O67" s="36" t="n">
        <f aca="false">N67+O64-O65-N67*O66/4</f>
        <v>14.8156483880993</v>
      </c>
      <c r="P67" s="36" t="n">
        <f aca="false">O67+P64-P65-O67*P66/4</f>
        <v>14.966343788037</v>
      </c>
      <c r="Q67" s="36" t="n">
        <f aca="false">P67+Q64-Q65-P67*Q66/4</f>
        <v>15.1222336584107</v>
      </c>
      <c r="R67" s="36" t="n">
        <f aca="false">Q67+R64-R65-Q67*R66/4</f>
        <v>15.3194879687231</v>
      </c>
      <c r="S67" s="36" t="n">
        <f aca="false">R67+S64-S65-R67*S66/4</f>
        <v>15.5240111003706</v>
      </c>
      <c r="T67" s="36" t="n">
        <f aca="false">S67+T64-T65-S67*T66/4</f>
        <v>15.7360709094192</v>
      </c>
      <c r="U67" s="36" t="n">
        <f aca="false">T67+U64-U65-T67*U66/4</f>
        <v>15.9559451224313</v>
      </c>
    </row>
    <row r="68" customFormat="false" ht="15" hidden="false" customHeight="false" outlineLevel="0" collapsed="false">
      <c r="B68" s="9" t="s">
        <v>224</v>
      </c>
      <c r="J68" s="22" t="n">
        <f aca="false">J64/J65</f>
        <v>1.4007</v>
      </c>
      <c r="K68" s="22" t="n">
        <f aca="false">K64/K65</f>
        <v>1.414985139</v>
      </c>
      <c r="L68" s="22" t="n">
        <f aca="false">L64/L65</f>
        <v>1.42982411283903</v>
      </c>
      <c r="M68" s="22" t="n">
        <f aca="false">M64/M65</f>
        <v>1.4452383936938</v>
      </c>
      <c r="N68" s="22" t="n">
        <f aca="false">N64/N65</f>
        <v>1.39552688503812</v>
      </c>
      <c r="O68" s="22" t="n">
        <f aca="false">O64/O65</f>
        <v>1.40541069676538</v>
      </c>
      <c r="P68" s="22" t="n">
        <f aca="false">P64/P65</f>
        <v>1.57292800386987</v>
      </c>
      <c r="Q68" s="22" t="n">
        <f aca="false">Q64/Q65</f>
        <v>1.58892683216327</v>
      </c>
      <c r="R68" s="22" t="n">
        <f aca="false">R64/R65</f>
        <v>1.60043639551513</v>
      </c>
      <c r="S68" s="22" t="n">
        <f aca="false">S64/S65</f>
        <v>1.62131247668986</v>
      </c>
      <c r="T68" s="22" t="n">
        <f aca="false">T64/T65</f>
        <v>1.64295784145589</v>
      </c>
      <c r="U68" s="22" t="n">
        <f aca="false">U64/U65</f>
        <v>1.66540083791353</v>
      </c>
    </row>
    <row r="69" customFormat="false" ht="15" hidden="false" customHeight="false" outlineLevel="0" collapsed="false">
      <c r="B69" s="9" t="s">
        <v>225</v>
      </c>
      <c r="C69" s="36" t="n">
        <f aca="false">U67*(1+$E$24)</f>
        <v>14.3603506101882</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0.1</v>
      </c>
      <c r="O74" s="33" t="n">
        <f aca="false">IF(O$31&lt;=4,Assumptions!$E$60,IF(O$31&lt;=8,Assumptions!$E$61,Assumptions!$E$62))+IF(O$31&gt;=5,$C$21,0)</f>
        <v>0.1</v>
      </c>
      <c r="P74" s="33" t="n">
        <f aca="false">IF(P$31&lt;=4,Assumptions!$E$60,IF(P$31&lt;=8,Assumptions!$E$61,Assumptions!$E$62))+IF(P$31&gt;=5,$C$21,0)</f>
        <v>0.1</v>
      </c>
      <c r="Q74" s="33" t="n">
        <f aca="false">IF(Q$31&lt;=4,Assumptions!$E$60,IF(Q$31&lt;=8,Assumptions!$E$61,Assumptions!$E$62))+IF(Q$31&gt;=5,$C$21,0)</f>
        <v>0.1</v>
      </c>
      <c r="R74" s="33" t="n">
        <f aca="false">IF(R$31&lt;=4,Assumptions!$E$60,IF(R$31&lt;=8,Assumptions!$E$61,Assumptions!$E$62))+IF(R$31&gt;=5,$C$21,0)</f>
        <v>0.12</v>
      </c>
      <c r="S74" s="33" t="n">
        <f aca="false">IF(S$31&lt;=4,Assumptions!$E$60,IF(S$31&lt;=8,Assumptions!$E$61,Assumptions!$E$62))+IF(S$31&gt;=5,$C$21,0)</f>
        <v>0.12</v>
      </c>
      <c r="T74" s="33" t="n">
        <f aca="false">IF(T$31&lt;=4,Assumptions!$E$60,IF(T$31&lt;=8,Assumptions!$E$61,Assumptions!$E$62))+IF(T$31&gt;=5,$C$21,0)</f>
        <v>0.12</v>
      </c>
      <c r="U74" s="33" t="n">
        <f aca="false">IF(U$31&lt;=4,Assumptions!$E$60,IF(U$31&lt;=8,Assumptions!$E$61,Assumptions!$E$62))+IF(U$31&gt;=5,$C$21,0)</f>
        <v>0.12</v>
      </c>
    </row>
    <row r="75" customFormat="false" ht="15" hidden="false" customHeight="false" outlineLevel="0" collapsed="false">
      <c r="B75" s="9" t="s">
        <v>217</v>
      </c>
      <c r="J75" s="17" t="n">
        <f aca="false">J32+Assumptions!$E$53</f>
        <v>0.143</v>
      </c>
      <c r="K75" s="17" t="n">
        <f aca="false">K32+Assumptions!$E$53</f>
        <v>0.143</v>
      </c>
      <c r="L75" s="17" t="n">
        <f aca="false">L32+Assumptions!$E$53</f>
        <v>0.143</v>
      </c>
      <c r="M75" s="17" t="n">
        <f aca="false">M32+Assumptions!$E$53</f>
        <v>0.143</v>
      </c>
      <c r="N75" s="17" t="n">
        <f aca="false">N32+Assumptions!$E$53</f>
        <v>0.143</v>
      </c>
      <c r="O75" s="17" t="n">
        <f aca="false">O32+Assumptions!$E$53</f>
        <v>0.143</v>
      </c>
      <c r="P75" s="17" t="n">
        <f aca="false">P32+Assumptions!$E$53</f>
        <v>0.143</v>
      </c>
      <c r="Q75" s="17" t="n">
        <f aca="false">Q32+Assumptions!$E$53</f>
        <v>0.143</v>
      </c>
      <c r="R75" s="17" t="n">
        <f aca="false">R32+Assumptions!$E$53</f>
        <v>0.143</v>
      </c>
      <c r="S75" s="17" t="n">
        <f aca="false">S32+Assumptions!$E$53</f>
        <v>0.143</v>
      </c>
      <c r="T75" s="17" t="n">
        <f aca="false">T32+Assumptions!$E$53</f>
        <v>0.143</v>
      </c>
      <c r="U75" s="17" t="n">
        <f aca="false">U32+Assumptions!$E$53</f>
        <v>0.143</v>
      </c>
    </row>
    <row r="76" customFormat="false" ht="15" hidden="false" customHeight="false" outlineLevel="0" collapsed="false">
      <c r="B76" s="9" t="s">
        <v>218</v>
      </c>
      <c r="J76" s="17" t="n">
        <f aca="false">J75*(1-J74)*(1+Assumptions!$E$54)-Assumptions!$E$55*Assumptions!$E$54-Assumptions!$E$56*(1+Assumptions!$E$54)-Assumptions!$E$57</f>
        <v>0.178683</v>
      </c>
      <c r="K76" s="17" t="n">
        <f aca="false">K75*(1-K74)*(1+Assumptions!$E$54)-Assumptions!$E$55*Assumptions!$E$54-Assumptions!$E$56*(1+Assumptions!$E$54)-Assumptions!$E$57</f>
        <v>0.178683</v>
      </c>
      <c r="L76" s="17" t="n">
        <f aca="false">L75*(1-L74)*(1+Assumptions!$E$54)-Assumptions!$E$55*Assumptions!$E$54-Assumptions!$E$56*(1+Assumptions!$E$54)-Assumptions!$E$57</f>
        <v>0.178683</v>
      </c>
      <c r="M76" s="17" t="n">
        <f aca="false">M75*(1-M74)*(1+Assumptions!$E$54)-Assumptions!$E$55*Assumptions!$E$54-Assumptions!$E$56*(1+Assumptions!$E$54)-Assumptions!$E$57</f>
        <v>0.178683</v>
      </c>
      <c r="N76" s="17" t="n">
        <f aca="false">N75*(1-N74)*(1+Assumptions!$E$54)-Assumptions!$E$55*Assumptions!$E$54-Assumptions!$E$56*(1+Assumptions!$E$54)-Assumptions!$E$57</f>
        <v>0.15852</v>
      </c>
      <c r="O76" s="17" t="n">
        <f aca="false">O75*(1-O74)*(1+Assumptions!$E$54)-Assumptions!$E$55*Assumptions!$E$54-Assumptions!$E$56*(1+Assumptions!$E$54)-Assumptions!$E$57</f>
        <v>0.15852</v>
      </c>
      <c r="P76" s="17" t="n">
        <f aca="false">P75*(1-P74)*(1+Assumptions!$E$54)-Assumptions!$E$55*Assumptions!$E$54-Assumptions!$E$56*(1+Assumptions!$E$54)-Assumptions!$E$57</f>
        <v>0.15852</v>
      </c>
      <c r="Q76" s="17" t="n">
        <f aca="false">Q75*(1-Q74)*(1+Assumptions!$E$54)-Assumptions!$E$55*Assumptions!$E$54-Assumptions!$E$56*(1+Assumptions!$E$54)-Assumptions!$E$57</f>
        <v>0.15852</v>
      </c>
      <c r="R76" s="17" t="n">
        <f aca="false">R75*(1-R74)*(1+Assumptions!$E$54)-Assumptions!$E$55*Assumptions!$E$54-Assumptions!$E$56*(1+Assumptions!$E$54)-Assumptions!$E$57</f>
        <v>0.151799</v>
      </c>
      <c r="S76" s="17" t="n">
        <f aca="false">S75*(1-S74)*(1+Assumptions!$E$54)-Assumptions!$E$55*Assumptions!$E$54-Assumptions!$E$56*(1+Assumptions!$E$54)-Assumptions!$E$57</f>
        <v>0.151799</v>
      </c>
      <c r="T76" s="17" t="n">
        <f aca="false">T75*(1-T74)*(1+Assumptions!$E$54)-Assumptions!$E$55*Assumptions!$E$54-Assumptions!$E$56*(1+Assumptions!$E$54)-Assumptions!$E$57</f>
        <v>0.151799</v>
      </c>
      <c r="U76" s="17" t="n">
        <f aca="false">U75*(1-U74)*(1+Assumptions!$E$54)-Assumptions!$E$55*Assumptions!$E$54-Assumptions!$E$56*(1+Assumptions!$E$54)-Assumptions!$E$57</f>
        <v>0.151799</v>
      </c>
    </row>
    <row r="77" customFormat="false" ht="15" hidden="false" customHeight="false" outlineLevel="0" collapsed="false">
      <c r="B77" s="9" t="s">
        <v>219</v>
      </c>
      <c r="J77" s="17" t="n">
        <f aca="false">J76*(1-Assumptions!$E$58)</f>
        <v>0.1429464</v>
      </c>
      <c r="K77" s="17" t="n">
        <f aca="false">K76*(1-Assumptions!$E$58)</f>
        <v>0.1429464</v>
      </c>
      <c r="L77" s="17" t="n">
        <f aca="false">L76*(1-Assumptions!$E$58)</f>
        <v>0.1429464</v>
      </c>
      <c r="M77" s="17" t="n">
        <f aca="false">M76*(1-Assumptions!$E$58)</f>
        <v>0.1429464</v>
      </c>
      <c r="N77" s="17" t="n">
        <f aca="false">N76*(1-Assumptions!$E$58)</f>
        <v>0.126816</v>
      </c>
      <c r="O77" s="17" t="n">
        <f aca="false">O76*(1-Assumptions!$E$58)</f>
        <v>0.126816</v>
      </c>
      <c r="P77" s="17" t="n">
        <f aca="false">P76*(1-Assumptions!$E$58)</f>
        <v>0.126816</v>
      </c>
      <c r="Q77" s="17" t="n">
        <f aca="false">Q76*(1-Assumptions!$E$58)</f>
        <v>0.126816</v>
      </c>
      <c r="R77" s="17" t="n">
        <f aca="false">R76*(1-Assumptions!$E$58)</f>
        <v>0.1214392</v>
      </c>
      <c r="S77" s="17" t="n">
        <f aca="false">S76*(1-Assumptions!$E$58)</f>
        <v>0.1214392</v>
      </c>
      <c r="T77" s="17" t="n">
        <f aca="false">T76*(1-Assumptions!$E$58)</f>
        <v>0.1214392</v>
      </c>
      <c r="U77" s="17" t="n">
        <f aca="false">U76*(1-Assumptions!$E$58)</f>
        <v>0.1214392</v>
      </c>
    </row>
    <row r="78" customFormat="false" ht="15" hidden="false" customHeight="false" outlineLevel="0" collapsed="false">
      <c r="B78" s="9" t="s">
        <v>220</v>
      </c>
      <c r="J78" s="36" t="n">
        <f aca="false">I81*J77/4</f>
        <v>0.40203675</v>
      </c>
      <c r="K78" s="36" t="n">
        <f aca="false">J81*K77/4</f>
        <v>0.40109327695755</v>
      </c>
      <c r="L78" s="36" t="n">
        <f aca="false">K81*L77/4</f>
        <v>0.400124342785493</v>
      </c>
      <c r="M78" s="36" t="n">
        <f aca="false">L81*M77/4</f>
        <v>0.399129260374508</v>
      </c>
      <c r="N78" s="36" t="n">
        <f aca="false">M81*N77/4</f>
        <v>0.353183979516672</v>
      </c>
      <c r="O78" s="36" t="n">
        <f aca="false">N81*O77/4</f>
        <v>0.344647924940956</v>
      </c>
      <c r="P78" s="36" t="n">
        <f aca="false">O81*P77/4</f>
        <v>0.340820914723584</v>
      </c>
      <c r="Q78" s="36" t="n">
        <f aca="false">P81*Q77/4</f>
        <v>0.336973031992486</v>
      </c>
      <c r="R78" s="36" t="n">
        <f aca="false">Q81*R77/4</f>
        <v>0.318981067533556</v>
      </c>
      <c r="S78" s="36" t="n">
        <f aca="false">R81*S77/4</f>
        <v>0.320409420606742</v>
      </c>
      <c r="T78" s="36" t="n">
        <f aca="false">S81*T77/4</f>
        <v>0.32186864010417</v>
      </c>
      <c r="U78" s="36" t="n">
        <f aca="false">T81*U77/4</f>
        <v>0.323359393043093</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0.18</v>
      </c>
      <c r="P79" s="19" t="n">
        <f aca="false">IF(ISNUMBER($C$25),IF(P$31&gt;=$C$25,$D$25,IF(ISNUMBER(Assumptions!$E$63),IF(P$31&gt;=Assumptions!$E$63,Assumptions!$E$64,Assumptions!$E$52),Assumptions!$E$52)),IF(ISNUMBER(Assumptions!$E$63),IF(P$31&gt;=Assumptions!$E$63,Assumptions!$E$64,Assumptions!$E$52),Assumptions!$E$52))</f>
        <v>0.18</v>
      </c>
      <c r="Q79" s="19" t="n">
        <f aca="false">IF(ISNUMBER($C$25),IF(Q$31&gt;=$C$25,$D$25,IF(ISNUMBER(Assumptions!$E$63),IF(Q$31&gt;=Assumptions!$E$63,Assumptions!$E$64,Assumptions!$E$52),Assumptions!$E$52)),IF(ISNUMBER(Assumptions!$E$63),IF(Q$31&gt;=Assumptions!$E$63,Assumptions!$E$64,Assumptions!$E$52),Assumptions!$E$52))</f>
        <v>0.18</v>
      </c>
      <c r="R79" s="19" t="n">
        <f aca="false">IF(ISNUMBER($C$25),IF(R$31&gt;=$C$25,$D$25,IF(ISNUMBER(Assumptions!$E$63),IF(R$31&gt;=Assumptions!$E$63,Assumptions!$E$64,Assumptions!$E$52),Assumptions!$E$52)),IF(ISNUMBER(Assumptions!$E$63),IF(R$31&gt;=Assumptions!$E$63,Assumptions!$E$64,Assumptions!$E$52),Assumptions!$E$52))</f>
        <v>0.18</v>
      </c>
      <c r="S79" s="19" t="n">
        <f aca="false">IF(ISNUMBER($C$25),IF(S$31&gt;=$C$25,$D$25,IF(ISNUMBER(Assumptions!$E$63),IF(S$31&gt;=Assumptions!$E$63,Assumptions!$E$64,Assumptions!$E$52),Assumptions!$E$52)),IF(ISNUMBER(Assumptions!$E$63),IF(S$31&gt;=Assumptions!$E$63,Assumptions!$E$64,Assumptions!$E$52),Assumptions!$E$52))</f>
        <v>0.18</v>
      </c>
      <c r="T79" s="19" t="n">
        <f aca="false">IF(ISNUMBER($C$25),IF(T$31&gt;=$C$25,$D$25,IF(ISNUMBER(Assumptions!$E$63),IF(T$31&gt;=Assumptions!$E$63,Assumptions!$E$64,Assumptions!$E$52),Assumptions!$E$52)),IF(ISNUMBER(Assumptions!$E$63),IF(T$31&gt;=Assumptions!$E$63,Assumptions!$E$64,Assumptions!$E$52),Assumptions!$E$52))</f>
        <v>0.18</v>
      </c>
      <c r="U79" s="19" t="n">
        <f aca="false">IF(ISNUMBER($C$25),IF(U$31&gt;=$C$25,$D$25,IF(ISNUMBER(Assumptions!$E$63),IF(U$31&gt;=Assumptions!$E$63,Assumptions!$E$64,Assumptions!$E$52),Assumptions!$E$52)),IF(ISNUMBER(Assumptions!$E$63),IF(U$31&gt;=Assumptions!$E$63,Assumptions!$E$64,Assumptions!$E$52),Assumptions!$E$52))</f>
        <v>0.18</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0.105</v>
      </c>
      <c r="O80" s="17" t="n">
        <f aca="false">Assumptions!$E$59*IF(AND(O$31&gt;=5,O$31&lt;=8),$C$20,1)</f>
        <v>0.105</v>
      </c>
      <c r="P80" s="17" t="n">
        <f aca="false">Assumptions!$E$59*IF(AND(P$31&gt;=5,P$31&lt;=8),$C$20,1)</f>
        <v>0.105</v>
      </c>
      <c r="Q80" s="17" t="n">
        <f aca="false">Assumptions!$E$59*IF(AND(Q$31&gt;=5,Q$31&lt;=8),$C$20,1)</f>
        <v>0.105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11.22359925</v>
      </c>
      <c r="K81" s="36" t="n">
        <f aca="false">J81+K78-K79-J81*K80/4</f>
        <v>11.1964860335201</v>
      </c>
      <c r="L81" s="36" t="n">
        <f aca="false">K81+L78-L79-K81*L80/4</f>
        <v>11.1686411235122</v>
      </c>
      <c r="M81" s="36" t="n">
        <f aca="false">L81+M78-M79-L81*M80/4</f>
        <v>11.140044774056</v>
      </c>
      <c r="N81" s="36" t="n">
        <f aca="false">M81+N78-N79-M81*N80/4</f>
        <v>10.8708025782537</v>
      </c>
      <c r="O81" s="36" t="n">
        <f aca="false">N81+O78-O79-N81*O80/4</f>
        <v>10.7500919355155</v>
      </c>
      <c r="P81" s="36" t="n">
        <f aca="false">O81+P78-P79-O81*P80/4</f>
        <v>10.6287229369318</v>
      </c>
      <c r="Q81" s="36" t="n">
        <f aca="false">P81+Q78-Q79-P81*Q80/4</f>
        <v>10.5066919918298</v>
      </c>
      <c r="R81" s="36" t="n">
        <f aca="false">Q81+R78-R79-Q81*R80/4</f>
        <v>10.5537395044349</v>
      </c>
      <c r="S81" s="36" t="n">
        <f aca="false">R81+S78-S79-R81*S80/4</f>
        <v>10.6018037043778</v>
      </c>
      <c r="T81" s="36" t="n">
        <f aca="false">S81+T78-T79-S81*T80/4</f>
        <v>10.6509065620687</v>
      </c>
      <c r="U81" s="36" t="n">
        <f aca="false">T81+U78-U79-T81*U80/4</f>
        <v>10.7010705226937</v>
      </c>
    </row>
    <row r="82" customFormat="false" ht="15" hidden="false" customHeight="false" outlineLevel="0" collapsed="false">
      <c r="B82" s="9" t="s">
        <v>224</v>
      </c>
      <c r="J82" s="22" t="n">
        <f aca="false">J78/J79</f>
        <v>1.21829318181818</v>
      </c>
      <c r="K82" s="22" t="n">
        <f aca="false">K78/K79</f>
        <v>1.21543417259864</v>
      </c>
      <c r="L82" s="22" t="n">
        <f aca="false">L78/L79</f>
        <v>1.21249800844089</v>
      </c>
      <c r="M82" s="22" t="n">
        <f aca="false">M78/M79</f>
        <v>1.20948260719548</v>
      </c>
      <c r="N82" s="22" t="n">
        <f aca="false">N78/N79</f>
        <v>1.07025448338385</v>
      </c>
      <c r="O82" s="22" t="n">
        <f aca="false">O78/O79</f>
        <v>1.91471069411642</v>
      </c>
      <c r="P82" s="22" t="n">
        <f aca="false">P78/P79</f>
        <v>1.89344952624213</v>
      </c>
      <c r="Q82" s="22" t="n">
        <f aca="false">Q78/Q79</f>
        <v>1.87207239995826</v>
      </c>
      <c r="R82" s="22" t="n">
        <f aca="false">R78/R79</f>
        <v>1.77211704185309</v>
      </c>
      <c r="S82" s="22" t="n">
        <f aca="false">S78/S79</f>
        <v>1.78005233670412</v>
      </c>
      <c r="T82" s="22" t="n">
        <f aca="false">T78/T79</f>
        <v>1.78815911168983</v>
      </c>
      <c r="U82" s="22" t="n">
        <f aca="false">U78/U79</f>
        <v>1.79644107246163</v>
      </c>
    </row>
    <row r="83" customFormat="false" ht="15" hidden="false" customHeight="false" outlineLevel="0" collapsed="false">
      <c r="B83" s="9" t="s">
        <v>225</v>
      </c>
      <c r="C83" s="36" t="n">
        <f aca="false">U81*(1+$E$25)</f>
        <v>6.95569583975089</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0.1225</v>
      </c>
      <c r="K87" s="17" t="n">
        <f aca="false">K32+Assumptions!$C$72+Assumptions!$C$73</f>
        <v>0.1225</v>
      </c>
      <c r="L87" s="17" t="n">
        <f aca="false">L32+Assumptions!$C$72+Assumptions!$C$73</f>
        <v>0.1225</v>
      </c>
      <c r="M87" s="17" t="n">
        <f aca="false">M32+Assumptions!$C$72+Assumptions!$C$73</f>
        <v>0.1225</v>
      </c>
      <c r="N87" s="17" t="n">
        <f aca="false">N32+Assumptions!$C$72+Assumptions!$C$73</f>
        <v>0.1225</v>
      </c>
      <c r="O87" s="17" t="n">
        <f aca="false">O32+Assumptions!$C$72+Assumptions!$C$73</f>
        <v>0.1225</v>
      </c>
      <c r="P87" s="17" t="n">
        <f aca="false">P32+Assumptions!$C$72+Assumptions!$C$73</f>
        <v>0.1225</v>
      </c>
      <c r="Q87" s="17" t="n">
        <f aca="false">Q32+Assumptions!$C$72+Assumptions!$C$73</f>
        <v>0.1225</v>
      </c>
      <c r="R87" s="17" t="n">
        <f aca="false">R32+Assumptions!$C$72+Assumptions!$C$73</f>
        <v>0.1225</v>
      </c>
      <c r="S87" s="17" t="n">
        <f aca="false">S32+Assumptions!$C$72+Assumptions!$C$73</f>
        <v>0.1225</v>
      </c>
      <c r="T87" s="17" t="n">
        <f aca="false">T32+Assumptions!$C$72+Assumptions!$C$73</f>
        <v>0.1225</v>
      </c>
      <c r="U87" s="17" t="n">
        <f aca="false">U32+Assumptions!$C$72+Assumptions!$C$73</f>
        <v>0.1225</v>
      </c>
      <c r="V87" s="17" t="n">
        <f aca="false">U32+Assumptions!$C$72+Assumptions!$C$73</f>
        <v>0.1225</v>
      </c>
      <c r="W87" s="17" t="n">
        <f aca="false">U32+Assumptions!$C$72+Assumptions!$C$73</f>
        <v>0.1225</v>
      </c>
      <c r="X87" s="17" t="n">
        <f aca="false">U32+Assumptions!$C$72+Assumptions!$C$73</f>
        <v>0.1225</v>
      </c>
      <c r="Y87" s="17" t="n">
        <f aca="false">U32+Assumptions!$C$72+Assumptions!$C$73</f>
        <v>0.1225</v>
      </c>
    </row>
    <row r="88" customFormat="false" ht="15" hidden="false" customHeight="false" outlineLevel="0" collapsed="false">
      <c r="B88" s="9" t="s">
        <v>231</v>
      </c>
      <c r="J88" s="17" t="n">
        <f aca="false">J87*(1+Assumptions!$C$74)</f>
        <v>0.214375</v>
      </c>
      <c r="K88" s="17" t="n">
        <f aca="false">K87*(1+Assumptions!$C$74)</f>
        <v>0.214375</v>
      </c>
      <c r="L88" s="17" t="n">
        <f aca="false">L87*(1+Assumptions!$C$74)</f>
        <v>0.214375</v>
      </c>
      <c r="M88" s="17" t="n">
        <f aca="false">M87*(1+Assumptions!$C$74)</f>
        <v>0.214375</v>
      </c>
      <c r="N88" s="17" t="n">
        <f aca="false">N87*(1+Assumptions!$C$74)</f>
        <v>0.214375</v>
      </c>
      <c r="O88" s="17" t="n">
        <f aca="false">O87*(1+Assumptions!$C$74)</f>
        <v>0.214375</v>
      </c>
      <c r="P88" s="17" t="n">
        <f aca="false">P87*(1+Assumptions!$C$74)</f>
        <v>0.214375</v>
      </c>
      <c r="Q88" s="17" t="n">
        <f aca="false">Q87*(1+Assumptions!$C$74)</f>
        <v>0.214375</v>
      </c>
      <c r="R88" s="17" t="n">
        <f aca="false">R87*(1+Assumptions!$C$74)</f>
        <v>0.214375</v>
      </c>
      <c r="S88" s="17" t="n">
        <f aca="false">S87*(1+Assumptions!$C$74)</f>
        <v>0.214375</v>
      </c>
      <c r="T88" s="17" t="n">
        <f aca="false">T87*(1+Assumptions!$C$74)</f>
        <v>0.214375</v>
      </c>
      <c r="U88" s="17" t="n">
        <f aca="false">U87*(1+Assumptions!$C$74)</f>
        <v>0.214375</v>
      </c>
      <c r="V88" s="17" t="n">
        <f aca="false">V87*(1+Assumptions!$C$74)</f>
        <v>0.214375</v>
      </c>
      <c r="W88" s="17" t="n">
        <f aca="false">W87*(1+Assumptions!$C$74)</f>
        <v>0.214375</v>
      </c>
      <c r="X88" s="17" t="n">
        <f aca="false">X87*(1+Assumptions!$C$74)</f>
        <v>0.214375</v>
      </c>
      <c r="Y88" s="17" t="n">
        <f aca="false">Y87*(1+Assumptions!$C$74)</f>
        <v>0.214375</v>
      </c>
    </row>
    <row r="89" customFormat="false" ht="15" hidden="false" customHeight="false" outlineLevel="0" collapsed="false">
      <c r="B89" s="9" t="s">
        <v>232</v>
      </c>
      <c r="J89" s="17" t="n">
        <f aca="false">(J32+Assumptions!$C$75)*Assumptions!$C$74</f>
        <v>0.061875</v>
      </c>
      <c r="K89" s="17" t="n">
        <f aca="false">(K32+Assumptions!$C$75)*Assumptions!$C$74</f>
        <v>0.061875</v>
      </c>
      <c r="L89" s="17" t="n">
        <f aca="false">(L32+Assumptions!$C$75)*Assumptions!$C$74</f>
        <v>0.061875</v>
      </c>
      <c r="M89" s="17" t="n">
        <f aca="false">(M32+Assumptions!$C$75)*Assumptions!$C$74</f>
        <v>0.061875</v>
      </c>
      <c r="N89" s="17" t="n">
        <f aca="false">(N32+Assumptions!$C$75)*Assumptions!$C$74</f>
        <v>0.061875</v>
      </c>
      <c r="O89" s="17" t="n">
        <f aca="false">(O32+Assumptions!$C$75)*Assumptions!$C$74</f>
        <v>0.061875</v>
      </c>
      <c r="P89" s="17" t="n">
        <f aca="false">(P32+Assumptions!$C$75)*Assumptions!$C$74</f>
        <v>0.061875</v>
      </c>
      <c r="Q89" s="17" t="n">
        <f aca="false">(Q32+Assumptions!$C$75)*Assumptions!$C$74</f>
        <v>0.061875</v>
      </c>
      <c r="R89" s="17" t="n">
        <f aca="false">(R32+Assumptions!$C$75)*Assumptions!$C$74</f>
        <v>0.061875</v>
      </c>
      <c r="S89" s="17" t="n">
        <f aca="false">(S32+Assumptions!$C$75)*Assumptions!$C$74</f>
        <v>0.061875</v>
      </c>
      <c r="T89" s="17" t="n">
        <f aca="false">(T32+Assumptions!$C$75)*Assumptions!$C$74</f>
        <v>0.061875</v>
      </c>
      <c r="U89" s="17" t="n">
        <f aca="false">(U32+Assumptions!$C$75)*Assumptions!$C$74</f>
        <v>0.061875</v>
      </c>
      <c r="V89" s="17" t="n">
        <f aca="false">(U32+Assumptions!$C$75)*Assumptions!$C$74</f>
        <v>0.061875</v>
      </c>
      <c r="W89" s="17" t="n">
        <f aca="false">(U32+Assumptions!$C$75)*Assumptions!$C$74</f>
        <v>0.061875</v>
      </c>
      <c r="X89" s="17" t="n">
        <f aca="false">(U32+Assumptions!$C$75)*Assumptions!$C$74</f>
        <v>0.061875</v>
      </c>
      <c r="Y89" s="17" t="n">
        <f aca="false">(U32+Assumptions!$C$75)*Assumptions!$C$74</f>
        <v>0.061875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0.122125</v>
      </c>
      <c r="K92" s="17" t="n">
        <f aca="false">K88-K89-K90-K91</f>
        <v>0.122125</v>
      </c>
      <c r="L92" s="17" t="n">
        <f aca="false">L88-L89-L90-L91</f>
        <v>0.122125</v>
      </c>
      <c r="M92" s="17" t="n">
        <f aca="false">M88-M89-M90-M91</f>
        <v>0.122125</v>
      </c>
      <c r="N92" s="17" t="n">
        <f aca="false">N88-N89-N90-N91</f>
        <v>0.122125</v>
      </c>
      <c r="O92" s="17" t="n">
        <f aca="false">O88-O89-O90-O91</f>
        <v>0.122125</v>
      </c>
      <c r="P92" s="17" t="n">
        <f aca="false">P88-P89-P90-P91</f>
        <v>0.122125</v>
      </c>
      <c r="Q92" s="17" t="n">
        <f aca="false">Q88-Q89-Q90-Q91</f>
        <v>0.122125</v>
      </c>
      <c r="R92" s="17" t="n">
        <f aca="false">R88-R89-R90-R91</f>
        <v>0.122125</v>
      </c>
      <c r="S92" s="17" t="n">
        <f aca="false">S88-S89-S90-S91</f>
        <v>0.122125</v>
      </c>
      <c r="T92" s="17" t="n">
        <f aca="false">T88-T89-T90-T91</f>
        <v>0.122125</v>
      </c>
      <c r="U92" s="17" t="n">
        <f aca="false">U88-U89-U90-U91</f>
        <v>0.122125</v>
      </c>
      <c r="V92" s="17" t="n">
        <f aca="false">V88-V89-V90-V91</f>
        <v>0.122125</v>
      </c>
      <c r="W92" s="17" t="n">
        <f aca="false">W88-W89-W90-W91</f>
        <v>0.122125</v>
      </c>
      <c r="X92" s="17" t="n">
        <f aca="false">X88-X89-X90-X91</f>
        <v>0.122125</v>
      </c>
      <c r="Y92" s="17" t="n">
        <f aca="false">Y88-Y89-Y90-Y91</f>
        <v>0.122125</v>
      </c>
    </row>
    <row r="93" customFormat="false" ht="15" hidden="false" customHeight="false" outlineLevel="0" collapsed="false">
      <c r="B93" s="9" t="s">
        <v>236</v>
      </c>
      <c r="J93" s="17" t="n">
        <f aca="false">IF(J92&gt;Assumptions!$C$80,Assumptions!$C$79*J92,0)</f>
        <v>0.015265625</v>
      </c>
      <c r="K93" s="17" t="n">
        <f aca="false">IF(K92&gt;Assumptions!$C$80,Assumptions!$C$79*K92,0)</f>
        <v>0.015265625</v>
      </c>
      <c r="L93" s="17" t="n">
        <f aca="false">IF(L92&gt;Assumptions!$C$80,Assumptions!$C$79*L92,0)</f>
        <v>0.015265625</v>
      </c>
      <c r="M93" s="17" t="n">
        <f aca="false">IF(M92&gt;Assumptions!$C$80,Assumptions!$C$79*M92,0)</f>
        <v>0.015265625</v>
      </c>
      <c r="N93" s="17" t="n">
        <f aca="false">IF(N92&gt;Assumptions!$C$80,Assumptions!$C$79*N92,0)</f>
        <v>0.015265625</v>
      </c>
      <c r="O93" s="17" t="n">
        <f aca="false">IF(O92&gt;Assumptions!$C$80,Assumptions!$C$79*O92,0)</f>
        <v>0.015265625</v>
      </c>
      <c r="P93" s="17" t="n">
        <f aca="false">IF(P92&gt;Assumptions!$C$80,Assumptions!$C$79*P92,0)</f>
        <v>0.015265625</v>
      </c>
      <c r="Q93" s="17" t="n">
        <f aca="false">IF(Q92&gt;Assumptions!$C$80,Assumptions!$C$79*Q92,0)</f>
        <v>0.015265625</v>
      </c>
      <c r="R93" s="17" t="n">
        <f aca="false">IF(R92&gt;Assumptions!$C$80,Assumptions!$C$79*R92,0)</f>
        <v>0.015265625</v>
      </c>
      <c r="S93" s="17" t="n">
        <f aca="false">IF(S92&gt;Assumptions!$C$80,Assumptions!$C$79*S92,0)</f>
        <v>0.015265625</v>
      </c>
      <c r="T93" s="17" t="n">
        <f aca="false">IF(T92&gt;Assumptions!$C$80,Assumptions!$C$79*T92,0)</f>
        <v>0.015265625</v>
      </c>
      <c r="U93" s="17" t="n">
        <f aca="false">IF(U92&gt;Assumptions!$C$80,Assumptions!$C$79*U92,0)</f>
        <v>0.015265625</v>
      </c>
      <c r="V93" s="17" t="n">
        <f aca="false">IF(V92&gt;Assumptions!$C$80,Assumptions!$C$79*V92,0)</f>
        <v>0.015265625</v>
      </c>
      <c r="W93" s="17" t="n">
        <f aca="false">IF(W92&gt;Assumptions!$C$80,Assumptions!$C$79*W92,0)</f>
        <v>0.015265625</v>
      </c>
      <c r="X93" s="17" t="n">
        <f aca="false">IF(X92&gt;Assumptions!$C$80,Assumptions!$C$79*X92,0)</f>
        <v>0.015265625</v>
      </c>
      <c r="Y93" s="17" t="n">
        <f aca="false">IF(Y92&gt;Assumptions!$C$80,Assumptions!$C$79*Y92,0)</f>
        <v>0.015265625</v>
      </c>
    </row>
    <row r="94" customFormat="false" ht="15" hidden="false" customHeight="false" outlineLevel="0" collapsed="false">
      <c r="B94" s="9" t="s">
        <v>237</v>
      </c>
      <c r="J94" s="17" t="n">
        <f aca="false">J92-J93</f>
        <v>0.106859375</v>
      </c>
      <c r="K94" s="17" t="n">
        <f aca="false">K92-K93</f>
        <v>0.106859375</v>
      </c>
      <c r="L94" s="17" t="n">
        <f aca="false">L92-L93</f>
        <v>0.106859375</v>
      </c>
      <c r="M94" s="17" t="n">
        <f aca="false">M92-M93</f>
        <v>0.106859375</v>
      </c>
      <c r="N94" s="17" t="n">
        <f aca="false">N92-N93</f>
        <v>0.106859375</v>
      </c>
      <c r="O94" s="17" t="n">
        <f aca="false">O92-O93</f>
        <v>0.106859375</v>
      </c>
      <c r="P94" s="17" t="n">
        <f aca="false">P92-P93</f>
        <v>0.106859375</v>
      </c>
      <c r="Q94" s="17" t="n">
        <f aca="false">Q92-Q93</f>
        <v>0.106859375</v>
      </c>
      <c r="R94" s="17" t="n">
        <f aca="false">R92-R93</f>
        <v>0.106859375</v>
      </c>
      <c r="S94" s="17" t="n">
        <f aca="false">S92-S93</f>
        <v>0.106859375</v>
      </c>
      <c r="T94" s="17" t="n">
        <f aca="false">T92-T93</f>
        <v>0.106859375</v>
      </c>
      <c r="U94" s="17" t="n">
        <f aca="false">U92-U93</f>
        <v>0.106859375</v>
      </c>
      <c r="V94" s="17" t="n">
        <f aca="false">V92-V93</f>
        <v>0.106859375</v>
      </c>
      <c r="W94" s="17" t="n">
        <f aca="false">W92-W93</f>
        <v>0.106859375</v>
      </c>
      <c r="X94" s="17" t="n">
        <f aca="false">X92-X93</f>
        <v>0.106859375</v>
      </c>
      <c r="Y94" s="17" t="n">
        <f aca="false">Y92-Y93</f>
        <v>0.106859375</v>
      </c>
    </row>
    <row r="95" customFormat="false" ht="15" hidden="false" customHeight="false" outlineLevel="0" collapsed="false">
      <c r="B95" s="9" t="s">
        <v>238</v>
      </c>
      <c r="J95" s="17" t="n">
        <f aca="false">$C$27*Assumptions!$C$82*(1+Assumptions!$C$74)*IF(AND(J$31&gt;=5,J$31&lt;=8),$C$26,1)</f>
        <v>0.021</v>
      </c>
      <c r="K95" s="17" t="n">
        <f aca="false">$C$27*Assumptions!$C$82*(1+Assumptions!$C$74)*IF(AND(K$31&gt;=5,K$31&lt;=8),$C$26,1)</f>
        <v>0.021</v>
      </c>
      <c r="L95" s="17" t="n">
        <f aca="false">$C$27*Assumptions!$C$82*(1+Assumptions!$C$74)*IF(AND(L$31&gt;=5,L$31&lt;=8),$C$26,1)</f>
        <v>0.021</v>
      </c>
      <c r="M95" s="17" t="n">
        <f aca="false">$C$27*Assumptions!$C$82*(1+Assumptions!$C$74)*IF(AND(M$31&gt;=5,M$31&lt;=8),$C$26,1)</f>
        <v>0.021</v>
      </c>
      <c r="N95" s="17" t="n">
        <f aca="false">$C$27*Assumptions!$C$82*(1+Assumptions!$C$74)*IF(AND(N$31&gt;=5,N$31&lt;=8),$C$26,1)</f>
        <v>0.063</v>
      </c>
      <c r="O95" s="17" t="n">
        <f aca="false">$C$27*Assumptions!$C$82*(1+Assumptions!$C$74)*IF(AND(O$31&gt;=5,O$31&lt;=8),$C$26,1)</f>
        <v>0.063</v>
      </c>
      <c r="P95" s="17" t="n">
        <f aca="false">$C$27*Assumptions!$C$82*(1+Assumptions!$C$74)*IF(AND(P$31&gt;=5,P$31&lt;=8),$C$26,1)</f>
        <v>0.063</v>
      </c>
      <c r="Q95" s="17" t="n">
        <f aca="false">$C$27*Assumptions!$C$82*(1+Assumptions!$C$74)*IF(AND(Q$31&gt;=5,Q$31&lt;=8),$C$26,1)</f>
        <v>0.063</v>
      </c>
      <c r="R95" s="17" t="n">
        <f aca="false">$C$27*Assumptions!$C$82*(1+Assumptions!$C$74)*IF(AND(R$31&gt;=5,R$31&lt;=8),$C$26,1)</f>
        <v>0.021</v>
      </c>
      <c r="S95" s="17" t="n">
        <f aca="false">$C$27*Assumptions!$C$82*(1+Assumptions!$C$74)*IF(AND(S$31&gt;=5,S$31&lt;=8),$C$26,1)</f>
        <v>0.021</v>
      </c>
      <c r="T95" s="17" t="n">
        <f aca="false">$C$27*Assumptions!$C$82*(1+Assumptions!$C$74)*IF(AND(T$31&gt;=5,T$31&lt;=8),$C$26,1)</f>
        <v>0.021</v>
      </c>
      <c r="U95" s="17" t="n">
        <f aca="false">$C$27*Assumptions!$C$82*(1+Assumptions!$C$74)*IF(AND(U$31&gt;=5,U$31&lt;=8),$C$26,1)</f>
        <v>0.021</v>
      </c>
      <c r="V95" s="17" t="n">
        <f aca="false">$C$27*Assumptions!$C$82*(1+Assumptions!$C$74)*IF(AND(V$31&gt;=5,V$31&lt;=8),$C$26,1)</f>
        <v>0.021</v>
      </c>
      <c r="W95" s="17" t="n">
        <f aca="false">$C$27*Assumptions!$C$82*(1+Assumptions!$C$74)*IF(AND(W$31&gt;=5,W$31&lt;=8),$C$26,1)</f>
        <v>0.021</v>
      </c>
      <c r="X95" s="17" t="n">
        <f aca="false">$C$27*Assumptions!$C$82*(1+Assumptions!$C$74)*IF(AND(X$31&gt;=5,X$31&lt;=8),$C$26,1)</f>
        <v>0.021</v>
      </c>
      <c r="Y95" s="17" t="n">
        <f aca="false">$C$27*Assumptions!$C$82*(1+Assumptions!$C$74)*IF(AND(Y$31&gt;=5,Y$31&lt;=8),$C$26,1)</f>
        <v>0.021</v>
      </c>
    </row>
    <row r="96" customFormat="false" ht="15" hidden="false" customHeight="false" outlineLevel="0" collapsed="false">
      <c r="B96" s="9" t="s">
        <v>220</v>
      </c>
      <c r="J96" s="42" t="n">
        <f aca="false">I97*J94/4</f>
        <v>0.66787109375</v>
      </c>
      <c r="K96" s="42" t="n">
        <f aca="false">J97*K94/4</f>
        <v>0.66717974281311</v>
      </c>
      <c r="L96" s="42" t="n">
        <f aca="false">K97*L94/4</f>
        <v>0.666473552136384</v>
      </c>
      <c r="M96" s="42" t="n">
        <f aca="false">L97*M94/4</f>
        <v>0.665752203187124</v>
      </c>
      <c r="N96" s="42" t="n">
        <f aca="false">M97*N94/4</f>
        <v>0.665015370595379</v>
      </c>
      <c r="O96" s="42" t="n">
        <f aca="false">N97*O94/4</f>
        <v>0.657280060615931</v>
      </c>
      <c r="P96" s="42" t="n">
        <f aca="false">O97*P94/4</f>
        <v>0.6494599341712</v>
      </c>
      <c r="Q96" s="42" t="n">
        <f aca="false">P97*Q94/4</f>
        <v>0.641554061261897</v>
      </c>
      <c r="R96" s="42" t="n">
        <f aca="false">Q97*R94/4</f>
        <v>0.633561501691437</v>
      </c>
      <c r="S96" s="42" t="n">
        <f aca="false">R97*S94/4</f>
        <v>0.632133700721884</v>
      </c>
      <c r="T96" s="42" t="n">
        <f aca="false">S97*T94/4</f>
        <v>0.630675252227613</v>
      </c>
      <c r="U96" s="42" t="n">
        <f aca="false">T97*U94/4</f>
        <v>0.629185498364296</v>
      </c>
      <c r="V96" s="42" t="n">
        <f aca="false">U97*V94/4</f>
        <v>0.627663767167077</v>
      </c>
      <c r="W96" s="42" t="n">
        <f aca="false">V97*W94/4</f>
        <v>0.626109372247479</v>
      </c>
      <c r="X96" s="42" t="n">
        <f aca="false">W97*X94/4</f>
        <v>0.624521612483807</v>
      </c>
      <c r="Y96" s="42" t="n">
        <f aca="false">X97*Y94/4</f>
        <v>0.622899771704895</v>
      </c>
    </row>
    <row r="97" customFormat="false" ht="15" hidden="false" customHeight="false" outlineLevel="0" collapsed="false">
      <c r="B97" s="9" t="s">
        <v>223</v>
      </c>
      <c r="I97" s="36" t="n">
        <f aca="false">Assumptions!$C$70</f>
        <v>25</v>
      </c>
      <c r="J97" s="36" t="n">
        <f aca="false">I97+J96-Assumptions!$C$71-I97*J95/4</f>
        <v>24.97412109375</v>
      </c>
      <c r="K97" s="36" t="n">
        <f aca="false">J97+K96-Assumptions!$C$71-J97*K95/4</f>
        <v>24.9476867008209</v>
      </c>
      <c r="L97" s="36" t="n">
        <f aca="false">K97+L96-Assumptions!$C$71-K97*L95/4</f>
        <v>24.920684897778</v>
      </c>
      <c r="M97" s="36" t="n">
        <f aca="false">L97+M96-Assumptions!$C$71-L97*M95/4</f>
        <v>24.8931035052518</v>
      </c>
      <c r="N97" s="36" t="n">
        <f aca="false">M97+N96-Assumptions!$C$71-M97*N95/4</f>
        <v>24.6035524956395</v>
      </c>
      <c r="O97" s="36" t="n">
        <f aca="false">N97+O96-Assumptions!$C$71-N97*O95/4</f>
        <v>24.3108266044491</v>
      </c>
      <c r="P97" s="36" t="n">
        <f aca="false">O97+P96-Assumptions!$C$71-O97*P95/4</f>
        <v>24.0148910196002</v>
      </c>
      <c r="Q97" s="36" t="n">
        <f aca="false">P97+Q96-Assumptions!$C$71-P97*Q95/4</f>
        <v>23.7157105473034</v>
      </c>
      <c r="R97" s="36" t="n">
        <f aca="false">Q97+R96-Assumptions!$C$71-Q97*R95/4</f>
        <v>23.6622645686215</v>
      </c>
      <c r="S97" s="36" t="n">
        <f aca="false">R97+S96-Assumptions!$C$71-R97*S95/4</f>
        <v>23.6076713803581</v>
      </c>
      <c r="T97" s="36" t="n">
        <f aca="false">S97+T96-Assumptions!$C$71-S97*T95/4</f>
        <v>23.5519063578388</v>
      </c>
      <c r="U97" s="36" t="n">
        <f aca="false">T97+U96-Assumptions!$C$71-T97*U95/4</f>
        <v>23.4949443478245</v>
      </c>
      <c r="V97" s="36" t="n">
        <f aca="false">U97+V96-Assumptions!$C$71-U97*V95/4</f>
        <v>23.4367596571655</v>
      </c>
      <c r="W97" s="36" t="n">
        <f aca="false">V97+W96-Assumptions!$C$71-V97*W95/4</f>
        <v>23.3773260412128</v>
      </c>
      <c r="X97" s="36" t="n">
        <f aca="false">W97+X96-Assumptions!$C$71-W97*X95/4</f>
        <v>23.3166166919803</v>
      </c>
      <c r="Y97" s="36" t="n">
        <f aca="false">X97+Y96-Assumptions!$C$71-X97*Y95/4</f>
        <v>23.2546042260523</v>
      </c>
    </row>
    <row r="98" customFormat="false" ht="15" hidden="false" customHeight="false" outlineLevel="0" collapsed="false">
      <c r="B98" s="9" t="s">
        <v>239</v>
      </c>
      <c r="J98" s="33" t="n">
        <f aca="false">J96/Assumptions!$C$71</f>
        <v>1.18732638888889</v>
      </c>
      <c r="K98" s="33" t="n">
        <f aca="false">K96/Assumptions!$C$71</f>
        <v>1.18609732055664</v>
      </c>
      <c r="L98" s="33" t="n">
        <f aca="false">L96/Assumptions!$C$71</f>
        <v>1.18484187046468</v>
      </c>
      <c r="M98" s="33" t="n">
        <f aca="false">M96/Assumptions!$C$71</f>
        <v>1.18355947233266</v>
      </c>
      <c r="N98" s="33" t="n">
        <f aca="false">N96/Assumptions!$C$71</f>
        <v>1.18224954772512</v>
      </c>
      <c r="O98" s="33" t="n">
        <f aca="false">O96/Assumptions!$C$71</f>
        <v>1.16849788553943</v>
      </c>
      <c r="P98" s="33" t="n">
        <f aca="false">P96/Assumptions!$C$71</f>
        <v>1.15459543852658</v>
      </c>
      <c r="Q98" s="33" t="n">
        <f aca="false">Q96/Assumptions!$C$71</f>
        <v>1.14054055335448</v>
      </c>
      <c r="R98" s="33" t="n">
        <f aca="false">R96/Assumptions!$C$71</f>
        <v>1.12633155856255</v>
      </c>
      <c r="S98" s="33" t="n">
        <f aca="false">S96/Assumptions!$C$71</f>
        <v>1.12379324572779</v>
      </c>
      <c r="T98" s="33" t="n">
        <f aca="false">T96/Assumptions!$C$71</f>
        <v>1.12120044840465</v>
      </c>
      <c r="U98" s="33" t="n">
        <f aca="false">U96/Assumptions!$C$71</f>
        <v>1.11855199709208</v>
      </c>
      <c r="V98" s="33" t="n">
        <f aca="false">V96/Assumptions!$C$71</f>
        <v>1.11584669718591</v>
      </c>
      <c r="W98" s="33" t="n">
        <f aca="false">W96/Assumptions!$C$71</f>
        <v>1.11308332843996</v>
      </c>
      <c r="X98" s="33" t="n">
        <f aca="false">X96/Assumptions!$C$71</f>
        <v>1.11026064441566</v>
      </c>
      <c r="Y98" s="33" t="n">
        <f aca="false">Y96/Assumptions!$C$71</f>
        <v>1.10737737191981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1000</v>
      </c>
      <c r="V99" s="43" t="n">
        <f aca="false">IF(V$31&gt;=12,IF(V$31&gt;=12+$C$29,U100,U100*$C$28),0)</f>
        <v>750</v>
      </c>
      <c r="W99" s="43" t="n">
        <f aca="false">IF(W$31&gt;=12,IF(W$31&gt;=12+$C$29,V100,V100*$C$28),0)</f>
        <v>562.5</v>
      </c>
      <c r="X99" s="43" t="n">
        <f aca="false">IF(X$31&gt;=12,IF(X$31&gt;=12+$C$29,W100,W100*$C$28),0)</f>
        <v>421.875</v>
      </c>
      <c r="Y99" s="43" t="n">
        <f aca="false">IF(Y$31&gt;=12,IF(Y$31&gt;=12+$C$29,X100,X100*$C$28),0)</f>
        <v>1265.625</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3000</v>
      </c>
      <c r="V100" s="43" t="n">
        <f aca="false">U100-V99</f>
        <v>2250</v>
      </c>
      <c r="W100" s="43" t="n">
        <f aca="false">V100-W99</f>
        <v>1687.5</v>
      </c>
      <c r="X100" s="43" t="n">
        <f aca="false">W100-X99</f>
        <v>1265.625</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1687.5</v>
      </c>
      <c r="W101" s="26" t="n">
        <f aca="false">V100*Assumptions!$C$71</f>
        <v>1265.625</v>
      </c>
      <c r="X101" s="26" t="n">
        <f aca="false">W100*Assumptions!$C$71</f>
        <v>949.21875</v>
      </c>
      <c r="Y101" s="26" t="n">
        <f aca="false">X100*Assumptions!$C$71</f>
        <v>711.9140625</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97.8689872964536</v>
      </c>
      <c r="F107" s="17" t="n">
        <f aca="false">Assumptions!$F$24</f>
        <v>0.0515</v>
      </c>
      <c r="G107" s="26" t="n">
        <f aca="false">SUM(I107:Y107)</f>
        <v>3329.7468241134</v>
      </c>
      <c r="H107" s="31" t="n">
        <f aca="false">(1+IRR(I107:Y107,IF(SUM(I107:Y107)&lt;0,-0.05,0.01)))^4-1</f>
        <v>0.0452854025569323</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25110.9968241134</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95.8946207482094</v>
      </c>
      <c r="F108" s="17" t="n">
        <f aca="false">Assumptions!$F$25</f>
        <v>0.053</v>
      </c>
      <c r="G108" s="26" t="n">
        <f aca="false">SUM(I108:Y108)</f>
        <v>2948.65518705235</v>
      </c>
      <c r="H108" s="31" t="n">
        <f aca="false">(1+IRR(I108:Y108,IF(SUM(I108:Y108)&lt;0,-0.05,0.01)))^4-1</f>
        <v>0.0403832313568384</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24636.1551870524</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94.0736883098699</v>
      </c>
      <c r="F109" s="17" t="n">
        <f aca="false">Assumptions!$F$26</f>
        <v>0.0545</v>
      </c>
      <c r="G109" s="26" t="n">
        <f aca="false">SUM(I109:Y109)</f>
        <v>2605.92207746748</v>
      </c>
      <c r="H109" s="31" t="n">
        <f aca="false">(1+IRR(I109:Y109,IF(SUM(I109:Y109)&lt;0,-0.05,0.01)))^4-1</f>
        <v>0.0359237266458627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24199.6720774675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94.254168191861</v>
      </c>
      <c r="F110" s="17" t="n">
        <f aca="false">RATE(Assumptions!$C$30*2,Assumptions!$D$32*100/2,-Assumptions!$E$32,100)*2</f>
        <v>0.0699042470751673</v>
      </c>
      <c r="G110" s="26" t="n">
        <f aca="false">SUM(I110:Y110)</f>
        <v>1938.02102398263</v>
      </c>
      <c r="H110" s="31" t="n">
        <f aca="false">(1+IRR(I110:Y110,IF(SUM(I110:Y110)&lt;0,-0.05,0.01)))^4-1</f>
        <v>0.0539417442476935</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12203.6460239826</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94.0607703898964</v>
      </c>
      <c r="F111" s="17" t="n">
        <f aca="false">RATE(Assumptions!$C$30*2,Assumptions!$D$33*100/2,-Assumptions!$E$33,100)*2</f>
        <v>0.0736404123832243</v>
      </c>
      <c r="G111" s="26" t="n">
        <f aca="false">SUM(I111:Y111)</f>
        <v>2070.09629873705</v>
      </c>
      <c r="H111" s="31" t="n">
        <f aca="false">(1+IRR(I111:Y111,IF(SUM(I111:Y111)&lt;0,-0.05,0.01)))^4-1</f>
        <v>0.0578944459899349</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12195.096298737</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93.8651686868592</v>
      </c>
      <c r="F112" s="17" t="n">
        <f aca="false">RATE(Assumptions!$C$30*2,Assumptions!$D$34*100/2,-Assumptions!$E$34,100)*2</f>
        <v>0.0773997713205988</v>
      </c>
      <c r="G112" s="26" t="n">
        <f aca="false">SUM(I112:Y112)</f>
        <v>2201.8960858574</v>
      </c>
      <c r="H112" s="31" t="n">
        <f aca="false">(1+IRR(I112:Y112,IF(SUM(I112:Y112)&lt;0,-0.05,0.01)))^4-1</f>
        <v>0.0618782416873627</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12186.2710858574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93.6673477085242</v>
      </c>
      <c r="F113" s="17" t="n">
        <f aca="false">RATE(Assumptions!$C$30*2,Assumptions!$D$35*100/2,-Assumptions!$E$35,100)*2</f>
        <v>0.0811827080590467</v>
      </c>
      <c r="G113" s="26" t="n">
        <f aca="false">SUM(I113:Y113)</f>
        <v>-7031.25</v>
      </c>
      <c r="H113" s="31" t="n">
        <f aca="false">(1+IRR(I113:Y113,IF(SUM(I113:Y113)&lt;0,-0.05,0.01)))^4-1</f>
        <v>-0.283756844998117</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0</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0</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3750</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93.478154547477</v>
      </c>
      <c r="F114" s="17" t="n">
        <f aca="false">RATE(Assumptions!$C$30*2,Assumptions!$D$36*100/2,-Assumptions!$E$36,100)*2</f>
        <v>0.0875368825411204</v>
      </c>
      <c r="G114" s="26" t="n">
        <f aca="false">SUM(I114:Y114)</f>
        <v>-7375</v>
      </c>
      <c r="H114" s="31" t="n">
        <f aca="false">(1+IRR(I114:Y114,IF(SUM(I114:Y114)&lt;0,-0.05,0.01)))^4-1</f>
        <v>-0.343682618403915</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3750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0</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92.2007116134403</v>
      </c>
      <c r="F115" s="17" t="n">
        <f aca="false">RATE(Assumptions!$C$30*2,Assumptions!$D$37*100/2,-Assumptions!$E$37,100)*2</f>
        <v>0.100561753609911</v>
      </c>
      <c r="G115" s="26" t="n">
        <f aca="false">SUM(I115:Y115)</f>
        <v>-7562.5</v>
      </c>
      <c r="H115" s="31" t="n">
        <f aca="false">(1+IRR(I115:Y115,IF(SUM(I115:Y115)&lt;0,-0.05,0.01)))^4-1</f>
        <v>-0.377547951583126</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3125</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0.0865</v>
      </c>
      <c r="G116" s="26" t="n">
        <f aca="false">SUM(I116:Y116)</f>
        <v>13880.5875904007</v>
      </c>
      <c r="H116" s="31" t="n">
        <f aca="false">(1+IRR(I116:Y116,IF(SUM(I116:Y116)&lt;0,-0.05,0.01)))^4-1</f>
        <v>0.0652064129926195</v>
      </c>
      <c r="I116" s="41" t="n">
        <f aca="false">IF(I$104=0,-$D116,0)+IF(AND(I$104&gt;=1,I$104&lt;=12),$C$35*$I$39,0)+IF(I$104=12,$C$35*$I$40,0)</f>
        <v>-75000</v>
      </c>
      <c r="J116" s="41" t="n">
        <f aca="false">IF(J$104=0,-$D116,0)+IF(AND(J$104&gt;=1,J$104&lt;=12),$C$35*$J$39,0)+IF(J$104=12,$C$35*$J$40,0)</f>
        <v>1621.875</v>
      </c>
      <c r="K116" s="41" t="n">
        <f aca="false">IF(K$104=0,-$D116,0)+IF(AND(K$104&gt;=1,K$104&lt;=12),$C$35*$K$39,0)+IF(K$104=12,$C$35*$K$40,0)</f>
        <v>1616.1984375</v>
      </c>
      <c r="L116" s="41" t="n">
        <f aca="false">IF(L$104=0,-$D116,0)+IF(AND(L$104&gt;=1,L$104&lt;=12),$C$35*$L$39,0)+IF(L$104=12,$C$35*$L$40,0)</f>
        <v>1610.54174296875</v>
      </c>
      <c r="M116" s="41" t="n">
        <f aca="false">IF(M$104=0,-$D116,0)+IF(AND(M$104&gt;=1,M$104&lt;=12),$C$35*$M$39,0)+IF(M$104=12,$C$35*$M$40,0)</f>
        <v>1604.90484686836</v>
      </c>
      <c r="N116" s="41" t="n">
        <f aca="false">IF(N$104=0,-$D116,0)+IF(AND(N$104&gt;=1,N$104&lt;=12),$C$35*$N$39,0)+IF(N$104=12,$C$35*$N$40,0)</f>
        <v>1599.28767990432</v>
      </c>
      <c r="O116" s="41" t="n">
        <f aca="false">IF(O$104=0,-$D116,0)+IF(AND(O$104&gt;=1,O$104&lt;=12),$C$35*$O$39,0)+IF(O$104=12,$C$35*$O$40,0)</f>
        <v>1583.09489214529</v>
      </c>
      <c r="P116" s="41" t="n">
        <f aca="false">IF(P$104=0,-$D116,0)+IF(AND(P$104&gt;=1,P$104&lt;=12),$C$35*$P$39,0)+IF(P$104=12,$C$35*$P$40,0)</f>
        <v>1567.06605636232</v>
      </c>
      <c r="Q116" s="41" t="n">
        <f aca="false">IF(Q$104=0,-$D116,0)+IF(AND(Q$104&gt;=1,Q$104&lt;=12),$C$35*$Q$39,0)+IF(Q$104=12,$C$35*$Q$40,0)</f>
        <v>1551.19951254165</v>
      </c>
      <c r="R116" s="41" t="n">
        <f aca="false">IF(R$104=0,-$D116,0)+IF(AND(R$104&gt;=1,R$104&lt;=12),$C$35*$R$39,0)+IF(R$104=12,$C$35*$R$40,0)</f>
        <v>1535.49361747717</v>
      </c>
      <c r="S116" s="41" t="n">
        <f aca="false">IF(S$104=0,-$D116,0)+IF(AND(S$104&gt;=1,S$104&lt;=12),$C$35*$S$39,0)+IF(S$104=12,$C$35*$S$40,0)</f>
        <v>1530.119389816</v>
      </c>
      <c r="T116" s="41" t="n">
        <f aca="false">IF(T$104=0,-$D116,0)+IF(AND(T$104&gt;=1,T$104&lt;=12),$C$35*$T$39,0)+IF(T$104=12,$C$35*$T$40,0)</f>
        <v>1524.76397195164</v>
      </c>
      <c r="U116" s="41" t="n">
        <f aca="false">IF(U$104=0,-$D116,0)+IF(AND(U$104&gt;=1,U$104&lt;=12),$C$35*$U$39,0)+IF(U$104=12,$C$35*$U$40,0)</f>
        <v>71536.0424428653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6718.49168372333</v>
      </c>
      <c r="H117" s="31" t="n">
        <f aca="false">(1+IRR(I117:Y117,IF(SUM(I117:Y117)&lt;0,-0.05,0.01)))^4-1</f>
        <v>0.0937410033845476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552.631578947368</v>
      </c>
      <c r="Q117" s="41" t="n">
        <f aca="false">IF(Q$104=0,-$D117,0)+IF(AND(Q$104&gt;=1,Q$104&lt;=12),$C$44*$Q$51,0)+IF(Q$104=12,$C$44*$C$55,0)</f>
        <v>552.631578947368</v>
      </c>
      <c r="R117" s="41" t="n">
        <f aca="false">IF(R$104=0,-$D117,0)+IF(AND(R$104&gt;=1,R$104&lt;=12),$C$44*$R$51,0)+IF(R$104=12,$C$44*$C$55,0)</f>
        <v>552.631578947368</v>
      </c>
      <c r="S117" s="41" t="n">
        <f aca="false">IF(S$104=0,-$D117,0)+IF(AND(S$104&gt;=1,S$104&lt;=12),$C$44*$S$51,0)+IF(S$104=12,$C$44*$C$55,0)</f>
        <v>552.631578947368</v>
      </c>
      <c r="T117" s="41" t="n">
        <f aca="false">IF(T$104=0,-$D117,0)+IF(AND(T$104&gt;=1,T$104&lt;=12),$C$44*$T$51,0)+IF(T$104=12,$C$44*$C$55,0)</f>
        <v>552.631578947368</v>
      </c>
      <c r="U117" s="41" t="n">
        <f aca="false">IF(U$104=0,-$D117,0)+IF(AND(U$104&gt;=1,U$104&lt;=12),$C$44*$U$51,0)+IF(U$104=12,$C$44*$C$55,0)</f>
        <v>25165.860104776</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6533.91768364699</v>
      </c>
      <c r="H118" s="31" t="n">
        <f aca="false">(1+IRR(I118:Y118,IF(SUM(I118:Y118)&lt;0,-0.05,0.01)))^4-1</f>
        <v>0.0921534992606767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600</v>
      </c>
      <c r="Q118" s="41" t="n">
        <f aca="false">IF(Q$104=0,-$D118,0)+IF(AND(Q$104&gt;=1,Q$104&lt;=12),$C$58*$Q$65,0)+IF(Q$104=12,$C$58*$C$69,0)</f>
        <v>600</v>
      </c>
      <c r="R118" s="41" t="n">
        <f aca="false">IF(R$104=0,-$D118,0)+IF(AND(R$104&gt;=1,R$104&lt;=12),$C$58*$R$65,0)+IF(R$104=12,$C$58*$C$69,0)</f>
        <v>600</v>
      </c>
      <c r="S118" s="41" t="n">
        <f aca="false">IF(S$104=0,-$D118,0)+IF(AND(S$104&gt;=1,S$104&lt;=12),$C$58*$S$65,0)+IF(S$104=12,$C$58*$C$69,0)</f>
        <v>600</v>
      </c>
      <c r="T118" s="41" t="n">
        <f aca="false">IF(T$104=0,-$D118,0)+IF(AND(T$104&gt;=1,T$104&lt;=12),$C$58*$T$65,0)+IF(T$104=12,$C$58*$C$69,0)</f>
        <v>600</v>
      </c>
      <c r="U118" s="41" t="n">
        <f aca="false">IF(U$104=0,-$D118,0)+IF(AND(U$104&gt;=1,U$104&lt;=12),$C$58*$U$65,0)+IF(U$104=12,$C$58*$C$69,0)</f>
        <v>24533.917683647</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2404.7106659747</v>
      </c>
      <c r="H119" s="31" t="n">
        <f aca="false">(1+IRR(I119:Y119,IF(SUM(I119:Y119)&lt;0,-0.05,0.01)))^4-1</f>
        <v>0.0372063218194689</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500</v>
      </c>
      <c r="P119" s="41" t="n">
        <f aca="false">IF(P$104=0,-$D119,0)+IF(AND(P$104&gt;=1,P$104&lt;=12),$C$72*$P$79,0)+IF(P$104=12,$C$72*$C$83,0)</f>
        <v>500</v>
      </c>
      <c r="Q119" s="41" t="n">
        <f aca="false">IF(Q$104=0,-$D119,0)+IF(AND(Q$104&gt;=1,Q$104&lt;=12),$C$72*$Q$79,0)+IF(Q$104=12,$C$72*$C$83,0)</f>
        <v>500</v>
      </c>
      <c r="R119" s="41" t="n">
        <f aca="false">IF(R$104=0,-$D119,0)+IF(AND(R$104&gt;=1,R$104&lt;=12),$C$72*$R$79,0)+IF(R$104=12,$C$72*$C$83,0)</f>
        <v>500</v>
      </c>
      <c r="S119" s="41" t="n">
        <f aca="false">IF(S$104=0,-$D119,0)+IF(AND(S$104&gt;=1,S$104&lt;=12),$C$72*$S$79,0)+IF(S$104=12,$C$72*$C$83,0)</f>
        <v>500</v>
      </c>
      <c r="T119" s="41" t="n">
        <f aca="false">IF(T$104=0,-$D119,0)+IF(AND(T$104&gt;=1,T$104&lt;=12),$C$72*$T$79,0)+IF(T$104=12,$C$72*$C$83,0)</f>
        <v>500</v>
      </c>
      <c r="U119" s="41" t="n">
        <f aca="false">IF(U$104=0,-$D119,0)+IF(AND(U$104&gt;=1,U$104&lt;=12),$C$72*$U$79,0)+IF(U$104=12,$C$72*$C$83,0)</f>
        <v>19821.3773326414</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25104.8239419074</v>
      </c>
      <c r="H120" s="31" t="n">
        <f aca="false">(1+IRR(I120:Y120,IF(SUM(I120:Y120)&lt;0,-0.05,0.01)))^4-1</f>
        <v>0.0756450848325732</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25744.9443478245</v>
      </c>
      <c r="V120" s="41" t="n">
        <f aca="false">$V$101+$V$99*$V$97</f>
        <v>19265.0697428741</v>
      </c>
      <c r="W120" s="41" t="n">
        <f aca="false">$W$101+$W$99*$W$97</f>
        <v>14415.3708981822</v>
      </c>
      <c r="X120" s="41" t="n">
        <f aca="false">$X$101+$X$99*$X$97</f>
        <v>10785.9164169292</v>
      </c>
      <c r="Y120" s="41" t="n">
        <f aca="false">$Y$101+$Y$99*$Y$97</f>
        <v>30143.5225360974</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9360</v>
      </c>
      <c r="H121" s="31" t="n">
        <f aca="false">(1+IRR(I121:Y121,IF(SUM(I121:Y121)&lt;0,-0.05,0.01)))^4-1</f>
        <v>0.0613635506249997</v>
      </c>
      <c r="I121" s="41" t="n">
        <f aca="false">IF(I$104=0,-$D121,0)+IF(AND(I$104&gt;=1,I$104&lt;=12),$D121*I32/4,0)+IF(I$104=12,$D121,0)</f>
        <v>-52000</v>
      </c>
      <c r="J121" s="41" t="n">
        <f aca="false">IF(J$104=0,-$D121,0)+IF(AND(J$104&gt;=1,J$104&lt;=12),$D121*J32/4,0)+IF(J$104=12,$D121,0)</f>
        <v>780</v>
      </c>
      <c r="K121" s="41" t="n">
        <f aca="false">IF(K$104=0,-$D121,0)+IF(AND(K$104&gt;=1,K$104&lt;=12),$D121*K32/4,0)+IF(K$104=12,$D121,0)</f>
        <v>780</v>
      </c>
      <c r="L121" s="41" t="n">
        <f aca="false">IF(L$104=0,-$D121,0)+IF(AND(L$104&gt;=1,L$104&lt;=12),$D121*L32/4,0)+IF(L$104=12,$D121,0)</f>
        <v>780</v>
      </c>
      <c r="M121" s="41" t="n">
        <f aca="false">IF(M$104=0,-$D121,0)+IF(AND(M$104&gt;=1,M$104&lt;=12),$D121*M32/4,0)+IF(M$104=12,$D121,0)</f>
        <v>780</v>
      </c>
      <c r="N121" s="41" t="n">
        <f aca="false">IF(N$104=0,-$D121,0)+IF(AND(N$104&gt;=1,N$104&lt;=12),$D121*N32/4,0)+IF(N$104=12,$D121,0)</f>
        <v>780</v>
      </c>
      <c r="O121" s="41" t="n">
        <f aca="false">IF(O$104=0,-$D121,0)+IF(AND(O$104&gt;=1,O$104&lt;=12),$D121*O32/4,0)+IF(O$104=12,$D121,0)</f>
        <v>780</v>
      </c>
      <c r="P121" s="41" t="n">
        <f aca="false">IF(P$104=0,-$D121,0)+IF(AND(P$104&gt;=1,P$104&lt;=12),$D121*P32/4,0)+IF(P$104=12,$D121,0)</f>
        <v>780</v>
      </c>
      <c r="Q121" s="41" t="n">
        <f aca="false">IF(Q$104=0,-$D121,0)+IF(AND(Q$104&gt;=1,Q$104&lt;=12),$D121*Q32/4,0)+IF(Q$104=12,$D121,0)</f>
        <v>780</v>
      </c>
      <c r="R121" s="41" t="n">
        <f aca="false">IF(R$104=0,-$D121,0)+IF(AND(R$104&gt;=1,R$104&lt;=12),$D121*R32/4,0)+IF(R$104=12,$D121,0)</f>
        <v>780</v>
      </c>
      <c r="S121" s="41" t="n">
        <f aca="false">IF(S$104=0,-$D121,0)+IF(AND(S$104&gt;=1,S$104&lt;=12),$D121*S32/4,0)+IF(S$104=12,$D121,0)</f>
        <v>780</v>
      </c>
      <c r="T121" s="41" t="n">
        <f aca="false">IF(T$104=0,-$D121,0)+IF(AND(T$104&gt;=1,T$104&lt;=12),$D121*T32/4,0)+IF(T$104=12,$D121,0)</f>
        <v>780</v>
      </c>
      <c r="U121" s="41" t="n">
        <f aca="false">IF(U$104=0,-$D121,0)+IF(AND(U$104&gt;=1,U$104&lt;=12),$D121*U32/4,0)+IF(U$104=12,$D121,0)</f>
        <v>52780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14996.8240886332</v>
      </c>
      <c r="H123" s="31" t="n">
        <f aca="false">(1+IRR(I123:Y123,IF(SUM(I123:Y123)&lt;0,-0.05,0.01)))^4-1</f>
        <v>0.0437901512556718</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99565.5740886332</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-15758.7365914229</v>
      </c>
      <c r="H124" s="31" t="n">
        <f aca="false">(1+IRR(I124:Y124,IF(SUM(I124:Y124)&lt;0,-0.05,0.01)))^4-1</f>
        <v>-0.0873772945576871</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1781.25</v>
      </c>
      <c r="P124" s="41" t="n">
        <f aca="false">SUMIF($C$105:$C$121,"HY",P$105:P$121)</f>
        <v>0</v>
      </c>
      <c r="Q124" s="41" t="n">
        <f aca="false">SUMIF($C$105:$C$121,"HY",Q$105:Q$121)</f>
        <v>1312.5</v>
      </c>
      <c r="R124" s="41" t="n">
        <f aca="false">SUMIF($C$105:$C$121,"HY",R$105:R$121)</f>
        <v>0</v>
      </c>
      <c r="S124" s="41" t="n">
        <f aca="false">SUMIF($C$105:$C$121,"HY",S$105:S$121)</f>
        <v>8187.5</v>
      </c>
      <c r="T124" s="41" t="n">
        <f aca="false">SUMIF($C$105:$C$121,"HY",T$105:T$121)</f>
        <v>0</v>
      </c>
      <c r="U124" s="41" t="n">
        <f aca="false">SUMIF($C$105:$C$121,"HY",U$105:U$121)</f>
        <v>40335.0134085771</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13880.5875904007</v>
      </c>
      <c r="H125" s="31" t="n">
        <f aca="false">(1+IRR(I125:Y125,IF(SUM(I125:Y125)&lt;0,-0.05,0.01)))^4-1</f>
        <v>0.0652064129926195</v>
      </c>
      <c r="I125" s="41" t="n">
        <f aca="false">SUMIF($C$105:$C$121,"Loan fund",I$105:I$121)</f>
        <v>-75000</v>
      </c>
      <c r="J125" s="41" t="n">
        <f aca="false">SUMIF($C$105:$C$121,"Loan fund",J$105:J$121)</f>
        <v>1621.875</v>
      </c>
      <c r="K125" s="41" t="n">
        <f aca="false">SUMIF($C$105:$C$121,"Loan fund",K$105:K$121)</f>
        <v>1616.1984375</v>
      </c>
      <c r="L125" s="41" t="n">
        <f aca="false">SUMIF($C$105:$C$121,"Loan fund",L$105:L$121)</f>
        <v>1610.54174296875</v>
      </c>
      <c r="M125" s="41" t="n">
        <f aca="false">SUMIF($C$105:$C$121,"Loan fund",M$105:M$121)</f>
        <v>1604.90484686836</v>
      </c>
      <c r="N125" s="41" t="n">
        <f aca="false">SUMIF($C$105:$C$121,"Loan fund",N$105:N$121)</f>
        <v>1599.28767990432</v>
      </c>
      <c r="O125" s="41" t="n">
        <f aca="false">SUMIF($C$105:$C$121,"Loan fund",O$105:O$121)</f>
        <v>1583.09489214529</v>
      </c>
      <c r="P125" s="41" t="n">
        <f aca="false">SUMIF($C$105:$C$121,"Loan fund",P$105:P$121)</f>
        <v>1567.06605636232</v>
      </c>
      <c r="Q125" s="41" t="n">
        <f aca="false">SUMIF($C$105:$C$121,"Loan fund",Q$105:Q$121)</f>
        <v>1551.19951254165</v>
      </c>
      <c r="R125" s="41" t="n">
        <f aca="false">SUMIF($C$105:$C$121,"Loan fund",R$105:R$121)</f>
        <v>1535.49361747717</v>
      </c>
      <c r="S125" s="41" t="n">
        <f aca="false">SUMIF($C$105:$C$121,"Loan fund",S$105:S$121)</f>
        <v>1530.119389816</v>
      </c>
      <c r="T125" s="41" t="n">
        <f aca="false">SUMIF($C$105:$C$121,"Loan fund",T$105:T$121)</f>
        <v>1524.76397195164</v>
      </c>
      <c r="U125" s="41" t="n">
        <f aca="false">SUMIF($C$105:$C$121,"Loan fund",U$105:U$121)</f>
        <v>71536.0424428653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15657.120033345</v>
      </c>
      <c r="H126" s="31" t="n">
        <f aca="false">(1+IRR(I126:Y126,IF(SUM(I126:Y126)&lt;0,-0.05,0.01)))^4-1</f>
        <v>0.0755164277519109</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1798.24561403509</v>
      </c>
      <c r="P126" s="41" t="n">
        <f aca="false">SUMIF($C$105:$C$121,"BDC",P$105:P$121)</f>
        <v>1652.63157894737</v>
      </c>
      <c r="Q126" s="41" t="n">
        <f aca="false">SUMIF($C$105:$C$121,"BDC",Q$105:Q$121)</f>
        <v>1652.63157894737</v>
      </c>
      <c r="R126" s="41" t="n">
        <f aca="false">SUMIF($C$105:$C$121,"BDC",R$105:R$121)</f>
        <v>1652.63157894737</v>
      </c>
      <c r="S126" s="41" t="n">
        <f aca="false">SUMIF($C$105:$C$121,"BDC",S$105:S$121)</f>
        <v>1652.63157894737</v>
      </c>
      <c r="T126" s="41" t="n">
        <f aca="false">SUMIF($C$105:$C$121,"BDC",T$105:T$121)</f>
        <v>1652.63157894737</v>
      </c>
      <c r="U126" s="41" t="n">
        <f aca="false">SUMIF($C$105:$C$121,"BDC",U$105:U$121)</f>
        <v>69521.1551210643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25104.8239419074</v>
      </c>
      <c r="H127" s="31" t="n">
        <f aca="false">(1+IRR(I127:Y127,IF(SUM(I127:Y127)&lt;0,-0.05,0.01)))^4-1</f>
        <v>0.0756450848325732</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25744.9443478245</v>
      </c>
      <c r="V127" s="41" t="n">
        <f aca="false">SUMIF($C$105:$C$121,"Interval fund",V$105:V$121)</f>
        <v>19265.0697428741</v>
      </c>
      <c r="W127" s="41" t="n">
        <f aca="false">SUMIF($C$105:$C$121,"Interval fund",W$105:W$121)</f>
        <v>14415.3708981822</v>
      </c>
      <c r="X127" s="41" t="n">
        <f aca="false">SUMIF($C$105:$C$121,"Interval fund",X$105:X$121)</f>
        <v>10785.9164169292</v>
      </c>
      <c r="Y127" s="41" t="n">
        <f aca="false">SUMIF($C$105:$C$121,"Interval fund",Y$105:Y$121)</f>
        <v>30143.5225360974</v>
      </c>
    </row>
    <row r="128" customFormat="false" ht="15" hidden="false" customHeight="false" outlineLevel="0" collapsed="false">
      <c r="B128" s="29" t="s">
        <v>253</v>
      </c>
      <c r="C128" s="9" t="s">
        <v>115</v>
      </c>
      <c r="D128" s="26" t="n">
        <f aca="false">SUMIF($C$105:$C$121,"Reserve",D$105:D$121)</f>
        <v>52000</v>
      </c>
      <c r="G128" s="30" t="n">
        <f aca="false">SUM(I128:Y128)</f>
        <v>9360</v>
      </c>
      <c r="H128" s="31" t="n">
        <f aca="false">(1+IRR(I128:Y128,IF(SUM(I128:Y128)&lt;0,-0.05,0.01)))^4-1</f>
        <v>0.0613635506249997</v>
      </c>
      <c r="I128" s="41" t="n">
        <f aca="false">SUMIF($C$105:$C$121,"Reserve",I$105:I$121)</f>
        <v>-52000</v>
      </c>
      <c r="J128" s="41" t="n">
        <f aca="false">SUMIF($C$105:$C$121,"Reserve",J$105:J$121)</f>
        <v>780</v>
      </c>
      <c r="K128" s="41" t="n">
        <f aca="false">SUMIF($C$105:$C$121,"Reserve",K$105:K$121)</f>
        <v>780</v>
      </c>
      <c r="L128" s="41" t="n">
        <f aca="false">SUMIF($C$105:$C$121,"Reserve",L$105:L$121)</f>
        <v>780</v>
      </c>
      <c r="M128" s="41" t="n">
        <f aca="false">SUMIF($C$105:$C$121,"Reserve",M$105:M$121)</f>
        <v>780</v>
      </c>
      <c r="N128" s="41" t="n">
        <f aca="false">SUMIF($C$105:$C$121,"Reserve",N$105:N$121)</f>
        <v>780</v>
      </c>
      <c r="O128" s="41" t="n">
        <f aca="false">SUMIF($C$105:$C$121,"Reserve",O$105:O$121)</f>
        <v>780</v>
      </c>
      <c r="P128" s="41" t="n">
        <f aca="false">SUMIF($C$105:$C$121,"Reserve",P$105:P$121)</f>
        <v>780</v>
      </c>
      <c r="Q128" s="41" t="n">
        <f aca="false">SUMIF($C$105:$C$121,"Reserve",Q$105:Q$121)</f>
        <v>780</v>
      </c>
      <c r="R128" s="41" t="n">
        <f aca="false">SUMIF($C$105:$C$121,"Reserve",R$105:R$121)</f>
        <v>780</v>
      </c>
      <c r="S128" s="41" t="n">
        <f aca="false">SUMIF($C$105:$C$121,"Reserve",S$105:S$121)</f>
        <v>780</v>
      </c>
      <c r="T128" s="41" t="n">
        <f aca="false">SUMIF($C$105:$C$121,"Reserve",T$105:T$121)</f>
        <v>780</v>
      </c>
      <c r="U128" s="41" t="n">
        <f aca="false">SUMIF($C$105:$C$121,"Reserve",U$105:U$121)</f>
        <v>52780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63240.6190628634</v>
      </c>
      <c r="H129" s="31" t="n">
        <f aca="false">(1+IRR(I129:Y129,IF(SUM(I129:Y129)&lt;0,-0.05,0.01)))^4-1</f>
        <v>0.0441375278445539</v>
      </c>
      <c r="I129" s="45" t="n">
        <f aca="false">SUM(I105:I121)</f>
        <v>-500000</v>
      </c>
      <c r="J129" s="45" t="n">
        <f aca="false">SUM(J105:J121)</f>
        <v>6866.78728070176</v>
      </c>
      <c r="K129" s="45" t="n">
        <f aca="false">SUM(K105:K121)</f>
        <v>12879.8607182018</v>
      </c>
      <c r="L129" s="45" t="n">
        <f aca="false">SUM(L105:L121)</f>
        <v>6855.45402367051</v>
      </c>
      <c r="M129" s="45" t="n">
        <f aca="false">SUM(M105:M121)</f>
        <v>12868.5671275701</v>
      </c>
      <c r="N129" s="45" t="n">
        <f aca="false">SUM(N105:N121)</f>
        <v>6844.19996060607</v>
      </c>
      <c r="O129" s="45" t="n">
        <f aca="false">SUM(O105:O121)</f>
        <v>11398.8405061804</v>
      </c>
      <c r="P129" s="45" t="n">
        <f aca="false">SUM(P105:P121)</f>
        <v>6249.69763530969</v>
      </c>
      <c r="Q129" s="45" t="n">
        <f aca="false">SUM(Q105:Q121)</f>
        <v>35752.581091489</v>
      </c>
      <c r="R129" s="45" t="n">
        <f aca="false">SUM(R105:R121)</f>
        <v>6218.12519642453</v>
      </c>
      <c r="S129" s="45" t="n">
        <f aca="false">SUM(S105:S121)</f>
        <v>17006.5009687634</v>
      </c>
      <c r="T129" s="45" t="n">
        <f aca="false">SUM(T105:T121)</f>
        <v>6207.39555089901</v>
      </c>
      <c r="U129" s="45" t="n">
        <f aca="false">SUM(U105:U121)</f>
        <v>359482.729408964</v>
      </c>
      <c r="V129" s="45" t="n">
        <f aca="false">SUM(V105:V121)</f>
        <v>19265.0697428741</v>
      </c>
      <c r="W129" s="45" t="n">
        <f aca="false">SUM(W105:W121)</f>
        <v>14415.3708981822</v>
      </c>
      <c r="X129" s="45" t="n">
        <f aca="false">SUM(X105:X121)</f>
        <v>10785.9164169292</v>
      </c>
      <c r="Y129" s="45" t="n">
        <f aca="false">SUM(Y105:Y121)</f>
        <v>30143.5225360974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260</v>
      </c>
    </row>
    <row r="3" customFormat="false" ht="15" hidden="false" customHeight="false" outlineLevel="0" collapsed="false">
      <c r="B3" s="6" t="s">
        <v>182</v>
      </c>
    </row>
    <row r="5" customFormat="false" ht="15" hidden="false" customHeight="false" outlineLevel="0" collapsed="false">
      <c r="B5" s="7" t="s">
        <v>261</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0.25</v>
      </c>
    </row>
    <row r="29" customFormat="false" ht="15" hidden="false" customHeight="false" outlineLevel="0" collapsed="false">
      <c r="B29" s="9" t="s">
        <v>205</v>
      </c>
      <c r="C29" s="16" t="n">
        <v>4</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7.45739284664943</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1000</v>
      </c>
      <c r="V99" s="43" t="n">
        <f aca="false">IF(V$31&gt;=12,IF(V$31&gt;=12+$C$29,U100,U100*$C$28),0)</f>
        <v>750</v>
      </c>
      <c r="W99" s="43" t="n">
        <f aca="false">IF(W$31&gt;=12,IF(W$31&gt;=12+$C$29,V100,V100*$C$28),0)</f>
        <v>562.5</v>
      </c>
      <c r="X99" s="43" t="n">
        <f aca="false">IF(X$31&gt;=12,IF(X$31&gt;=12+$C$29,W100,W100*$C$28),0)</f>
        <v>421.875</v>
      </c>
      <c r="Y99" s="43" t="n">
        <f aca="false">IF(Y$31&gt;=12,IF(Y$31&gt;=12+$C$29,X100,X100*$C$28),0)</f>
        <v>1265.625</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3000</v>
      </c>
      <c r="V100" s="43" t="n">
        <f aca="false">U100-V99</f>
        <v>2250</v>
      </c>
      <c r="W100" s="43" t="n">
        <f aca="false">V100-W99</f>
        <v>1687.5</v>
      </c>
      <c r="X100" s="43" t="n">
        <f aca="false">W100-X99</f>
        <v>1265.625</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1687.5</v>
      </c>
      <c r="W101" s="26" t="n">
        <f aca="false">V100*Assumptions!$C$71</f>
        <v>1265.625</v>
      </c>
      <c r="X101" s="26" t="n">
        <f aca="false">W100*Assumptions!$C$71</f>
        <v>949.21875</v>
      </c>
      <c r="Y101" s="26" t="n">
        <f aca="false">X100*Assumptions!$C$71</f>
        <v>711.9140625</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5159.42457402619</v>
      </c>
      <c r="H119" s="31" t="n">
        <f aca="false">(1+IRR(I119:Y119,IF(SUM(I119:Y119)&lt;0,-0.05,0.01)))^4-1</f>
        <v>0.0776161128438713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21409.4245740262</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24425.1853999833</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25746.6370037607</v>
      </c>
      <c r="V120" s="41" t="n">
        <f aca="false">$V$101+$V$99*$V$97</f>
        <v>19204.6878121378</v>
      </c>
      <c r="W120" s="41" t="n">
        <f aca="false">$W$101+$W$99*$W$97</f>
        <v>14323.1297655917</v>
      </c>
      <c r="X120" s="41" t="n">
        <f aca="false">$X$101+$X$99*$X$97</f>
        <v>10680.9746613528</v>
      </c>
      <c r="Y120" s="41" t="n">
        <f aca="false">$Y$101+$Y$99*$Y$97</f>
        <v>29719.7561571403</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8690.53487245816</v>
      </c>
      <c r="H124" s="31" t="n">
        <f aca="false">(1+IRR(I124:Y124,IF(SUM(I124:Y124)&lt;0,-0.05,0.01)))^4-1</f>
        <v>0.0421815773308225</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64221.7848724582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18884.8738040853</v>
      </c>
      <c r="H126" s="31" t="n">
        <f aca="false">(1+IRR(I126:Y126,IF(SUM(I126:Y126)&lt;0,-0.05,0.01)))^4-1</f>
        <v>0.0903440091851642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70854.1720496993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24425.1853999833</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25746.6370037607</v>
      </c>
      <c r="V127" s="41" t="n">
        <f aca="false">SUMIF($C$105:$C$121,"Interval fund",V$105:V$121)</f>
        <v>19204.6878121378</v>
      </c>
      <c r="W127" s="41" t="n">
        <f aca="false">SUMIF($C$105:$C$121,"Interval fund",W$105:W$121)</f>
        <v>14323.1297655917</v>
      </c>
      <c r="X127" s="41" t="n">
        <f aca="false">SUMIF($C$105:$C$121,"Interval fund",X$105:X$121)</f>
        <v>10680.9746613528</v>
      </c>
      <c r="Y127" s="41" t="n">
        <f aca="false">SUMIF($C$105:$C$121,"Interval fund",Y$105:Y$121)</f>
        <v>29719.7561571403</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88697.763949085</v>
      </c>
      <c r="H129" s="31" t="n">
        <f aca="false">(1+IRR(I129:Y129,IF(SUM(I129:Y129)&lt;0,-0.05,0.01)))^4-1</f>
        <v>0.0606008106787763</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11480.7855163475</v>
      </c>
      <c r="P129" s="45" t="n">
        <f aca="false">SUM(P105:P121)</f>
        <v>5990.05520327057</v>
      </c>
      <c r="Q129" s="45" t="n">
        <f aca="false">SUM(Q105:Q121)</f>
        <v>36474.3333697655</v>
      </c>
      <c r="R129" s="45" t="n">
        <f aca="false">SUM(R105:R121)</f>
        <v>5983.61999357337</v>
      </c>
      <c r="S129" s="45" t="n">
        <f aca="false">SUM(S105:S121)</f>
        <v>15867.9150524937</v>
      </c>
      <c r="T129" s="45" t="n">
        <f aca="false">SUM(T105:T121)</f>
        <v>5977.21852438446</v>
      </c>
      <c r="U129" s="45" t="n">
        <f aca="false">SUM(U105:U121)</f>
        <v>389831.496153496</v>
      </c>
      <c r="V129" s="45" t="n">
        <f aca="false">SUM(V105:V121)</f>
        <v>19204.6878121378</v>
      </c>
      <c r="W129" s="45" t="n">
        <f aca="false">SUM(W105:W121)</f>
        <v>14323.1297655917</v>
      </c>
      <c r="X129" s="45" t="n">
        <f aca="false">SUM(X105:X121)</f>
        <v>10680.9746613528</v>
      </c>
      <c r="Y129" s="45" t="n">
        <f aca="false">SUM(Y105:Y121)</f>
        <v>29719.7561571403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262</v>
      </c>
    </row>
    <row r="3" customFormat="false" ht="15" hidden="false" customHeight="false" outlineLevel="0" collapsed="false">
      <c r="B3" s="6" t="s">
        <v>182</v>
      </c>
    </row>
    <row r="5" customFormat="false" ht="15" hidden="false" customHeight="false" outlineLevel="0" collapsed="false">
      <c r="B5" s="7" t="s">
        <v>263</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s">
        <v>80</v>
      </c>
      <c r="D16" s="37" t="s">
        <v>111</v>
      </c>
      <c r="E16" s="24" t="s">
        <v>111</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7.45739284664943</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3592.84234974802</v>
      </c>
      <c r="H115" s="31" t="n">
        <f aca="false">(1+IRR(I115:Y115,IF(SUM(I115:Y115)&lt;0,-0.05,0.01)))^4-1</f>
        <v>0.103089920182186</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531.25</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531.25</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531.25</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12686.592349748</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5159.42457402619</v>
      </c>
      <c r="H119" s="31" t="n">
        <f aca="false">(1+IRR(I119:Y119,IF(SUM(I119:Y119)&lt;0,-0.05,0.01)))^4-1</f>
        <v>0.0776161128438713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21409.4245740262</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20986.5480150429</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96236.5480150429</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17970.8772222062</v>
      </c>
      <c r="H124" s="31" t="n">
        <f aca="false">(1+IRR(I124:Y124,IF(SUM(I124:Y124)&lt;0,-0.05,0.01)))^4-1</f>
        <v>0.0832358496413976</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2812.5</v>
      </c>
      <c r="P124" s="41" t="n">
        <f aca="false">SUMIF($C$105:$C$121,"HY",P$105:P$121)</f>
        <v>0</v>
      </c>
      <c r="Q124" s="41" t="n">
        <f aca="false">SUMIF($C$105:$C$121,"HY",Q$105:Q$121)</f>
        <v>2812.5</v>
      </c>
      <c r="R124" s="41" t="n">
        <f aca="false">SUMIF($C$105:$C$121,"HY",R$105:R$121)</f>
        <v>0</v>
      </c>
      <c r="S124" s="41" t="n">
        <f aca="false">SUMIF($C$105:$C$121,"HY",S$105:S$121)</f>
        <v>2812.5</v>
      </c>
      <c r="T124" s="41" t="n">
        <f aca="false">SUMIF($C$105:$C$121,"HY",T$105:T$121)</f>
        <v>0</v>
      </c>
      <c r="U124" s="41" t="n">
        <f aca="false">SUMIF($C$105:$C$121,"HY",U$105:U$121)</f>
        <v>76908.3772222062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18884.8738040853</v>
      </c>
      <c r="H126" s="31" t="n">
        <f aca="false">(1+IRR(I126:Y126,IF(SUM(I126:Y126)&lt;0,-0.05,0.01)))^4-1</f>
        <v>0.0903440091851642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70854.1720496993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20986.5480150429</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96236.5480150429</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94539.4689138926</v>
      </c>
      <c r="H129" s="31" t="n">
        <f aca="false">(1+IRR(I129:Y129,IF(SUM(I129:Y129)&lt;0,-0.05,0.01)))^4-1</f>
        <v>0.0663005813654269</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12012.0355163475</v>
      </c>
      <c r="P129" s="45" t="n">
        <f aca="false">SUM(P105:P121)</f>
        <v>5990.05520327057</v>
      </c>
      <c r="Q129" s="45" t="n">
        <f aca="false">SUM(Q105:Q121)</f>
        <v>37005.5833697655</v>
      </c>
      <c r="R129" s="45" t="n">
        <f aca="false">SUM(R105:R121)</f>
        <v>5983.61999357337</v>
      </c>
      <c r="S129" s="45" t="n">
        <f aca="false">SUM(S105:S121)</f>
        <v>11399.1650524937</v>
      </c>
      <c r="T129" s="45" t="n">
        <f aca="false">SUM(T105:T121)</f>
        <v>5977.21852438446</v>
      </c>
      <c r="U129" s="45" t="n">
        <f aca="false">SUM(U105:U121)</f>
        <v>473007.999514526</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264</v>
      </c>
    </row>
    <row r="3" customFormat="false" ht="15" hidden="false" customHeight="false" outlineLevel="0" collapsed="false">
      <c r="B3" s="6" t="s">
        <v>182</v>
      </c>
    </row>
    <row r="5" customFormat="false" ht="15" hidden="false" customHeight="false" outlineLevel="0" collapsed="false">
      <c r="B5" s="7" t="s">
        <v>265</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21" t="n">
        <v>-0.35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6.4630738004295</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2397.42722341529</v>
      </c>
      <c r="H119" s="31" t="n">
        <f aca="false">(1+IRR(I119:Y119,IF(SUM(I119:Y119)&lt;0,-0.05,0.01)))^4-1</f>
        <v>0.0376706321710441</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18647.4272234153</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20986.5480150429</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96236.5480150429</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8690.53487245816</v>
      </c>
      <c r="H124" s="31" t="n">
        <f aca="false">(1+IRR(I124:Y124,IF(SUM(I124:Y124)&lt;0,-0.05,0.01)))^4-1</f>
        <v>0.0421815773308225</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64221.7848724582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16122.8764534744</v>
      </c>
      <c r="H126" s="31" t="n">
        <f aca="false">(1+IRR(I126:Y126,IF(SUM(I126:Y126)&lt;0,-0.05,0.01)))^4-1</f>
        <v>0.078137186721192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68092.1746990884</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20986.5480150429</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96236.5480150429</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82497.1292135336</v>
      </c>
      <c r="H129" s="31" t="n">
        <f aca="false">(1+IRR(I129:Y129,IF(SUM(I129:Y129)&lt;0,-0.05,0.01)))^4-1</f>
        <v>0.0583757695950966</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11480.7855163475</v>
      </c>
      <c r="P129" s="45" t="n">
        <f aca="false">SUM(P105:P121)</f>
        <v>5990.05520327057</v>
      </c>
      <c r="Q129" s="45" t="n">
        <f aca="false">SUM(Q105:Q121)</f>
        <v>36474.3333697655</v>
      </c>
      <c r="R129" s="45" t="n">
        <f aca="false">SUM(R105:R121)</f>
        <v>5983.61999357337</v>
      </c>
      <c r="S129" s="45" t="n">
        <f aca="false">SUM(S105:S121)</f>
        <v>15867.9150524937</v>
      </c>
      <c r="T129" s="45" t="n">
        <f aca="false">SUM(T105:T121)</f>
        <v>5977.21852438446</v>
      </c>
      <c r="U129" s="45" t="n">
        <f aca="false">SUM(U105:U121)</f>
        <v>457559.409814167</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70"/>
    <col collapsed="false" customWidth="true" hidden="false" outlineLevel="0" max="4" min="4" style="0" width="16"/>
    <col collapsed="false" customWidth="true" hidden="false" outlineLevel="0" max="5" min="5" style="0" width="14"/>
  </cols>
  <sheetData>
    <row r="1" customFormat="false" ht="6" hidden="false" customHeight="true" outlineLevel="0" collapsed="false"/>
    <row r="2" customFormat="false" ht="17.35" hidden="false" customHeight="false" outlineLevel="0" collapsed="false">
      <c r="B2" s="5" t="s">
        <v>266</v>
      </c>
    </row>
    <row r="3" customFormat="false" ht="15" hidden="false" customHeight="false" outlineLevel="0" collapsed="false">
      <c r="B3" s="6" t="s">
        <v>267</v>
      </c>
    </row>
    <row r="5" customFormat="false" ht="21.75" hidden="false" customHeight="true" outlineLevel="0" collapsed="false">
      <c r="B5" s="13" t="s">
        <v>268</v>
      </c>
      <c r="C5" s="14" t="s">
        <v>269</v>
      </c>
      <c r="D5" s="14" t="s">
        <v>270</v>
      </c>
      <c r="E5" s="14" t="s">
        <v>271</v>
      </c>
    </row>
    <row r="6" customFormat="false" ht="15" hidden="false" customHeight="false" outlineLevel="0" collapsed="false">
      <c r="B6" s="9" t="s">
        <v>272</v>
      </c>
      <c r="C6" s="9" t="s">
        <v>273</v>
      </c>
      <c r="D6" s="46" t="n">
        <f aca="false">(ROUND((Allocation!$I$23*100),2)-ROUND((Base_Quarterly!$C$22*100),2))</f>
        <v>1.66</v>
      </c>
      <c r="E6" s="47" t="s">
        <v>274</v>
      </c>
    </row>
    <row r="7" customFormat="false" ht="15" hidden="false" customHeight="false" outlineLevel="0" collapsed="false">
      <c r="B7" s="9" t="s">
        <v>275</v>
      </c>
      <c r="C7" s="9" t="s">
        <v>276</v>
      </c>
      <c r="D7" s="46" t="n">
        <f aca="false">(ROUND((Allocation!$H$23*100),2)-ROUND((Base_Quarterly!$C$22*100),2))</f>
        <v>0.29</v>
      </c>
      <c r="E7" s="47" t="s">
        <v>277</v>
      </c>
    </row>
    <row r="8" customFormat="false" ht="15" hidden="false" customHeight="false" outlineLevel="0" collapsed="false">
      <c r="B8" s="9" t="s">
        <v>278</v>
      </c>
      <c r="C8" s="9" t="s">
        <v>279</v>
      </c>
      <c r="D8" s="46" t="n">
        <f aca="false">(ROUND((Allocation!$G$28*100),2)-ROUND((Allocation!$H$28*100),2))</f>
        <v>2.55</v>
      </c>
      <c r="E8" s="47" t="s">
        <v>280</v>
      </c>
    </row>
    <row r="9" customFormat="false" ht="15" hidden="false" customHeight="false" outlineLevel="0" collapsed="false">
      <c r="B9" s="9" t="s">
        <v>281</v>
      </c>
      <c r="C9" s="9" t="s">
        <v>282</v>
      </c>
      <c r="D9" s="43" t="n">
        <f aca="false">((((ROUND(Review!$F$11,0)+ROUND(Review!$F$12,0))+ROUND(Review!$F$13,0))+ROUND(Review!$F$14,0))+ROUND(Review!$F$15,0))</f>
        <v>14378</v>
      </c>
      <c r="E9" s="47" t="s">
        <v>283</v>
      </c>
    </row>
    <row r="10" customFormat="false" ht="15" hidden="false" customHeight="false" outlineLevel="0" collapsed="false">
      <c r="B10" s="9" t="s">
        <v>284</v>
      </c>
      <c r="C10" s="9" t="s">
        <v>285</v>
      </c>
      <c r="D10" s="43" t="n">
        <f aca="false">(Derived!$D$9+ROUND(Base_Quarterly!$C$28,0))</f>
        <v>8690</v>
      </c>
      <c r="E10" s="47" t="s">
        <v>286</v>
      </c>
    </row>
    <row r="11" customFormat="false" ht="15" hidden="false" customHeight="false" outlineLevel="0" collapsed="false">
      <c r="B11" s="9" t="s">
        <v>287</v>
      </c>
      <c r="C11" s="9" t="s">
        <v>288</v>
      </c>
      <c r="D11" s="46" t="n">
        <f aca="false">(ROUND((Allocation!$H$17*100),2)/4)</f>
        <v>1.4</v>
      </c>
      <c r="E11" s="47" t="s">
        <v>289</v>
      </c>
    </row>
    <row r="12" customFormat="false" ht="15" hidden="false" customHeight="false" outlineLevel="0" collapsed="false">
      <c r="B12" s="9" t="s">
        <v>290</v>
      </c>
      <c r="C12" s="9" t="s">
        <v>291</v>
      </c>
      <c r="D12" s="48" t="n">
        <f aca="false">(1+(Derived!$D$11/100))</f>
        <v>1.014</v>
      </c>
      <c r="E12" s="47" t="s">
        <v>292</v>
      </c>
    </row>
    <row r="13" customFormat="false" ht="15" hidden="false" customHeight="false" outlineLevel="0" collapsed="false">
      <c r="B13" s="9" t="s">
        <v>293</v>
      </c>
      <c r="C13" s="9" t="s">
        <v>294</v>
      </c>
      <c r="D13" s="49" t="n">
        <f aca="false">((1+(Derived!$D$11/100))^4)</f>
        <v>1.057187014416</v>
      </c>
      <c r="E13" s="47" t="s">
        <v>295</v>
      </c>
    </row>
    <row r="14" customFormat="false" ht="15" hidden="false" customHeight="false" outlineLevel="0" collapsed="false">
      <c r="B14" s="9" t="s">
        <v>296</v>
      </c>
      <c r="C14" s="9" t="s">
        <v>297</v>
      </c>
      <c r="D14" s="46" t="n">
        <f aca="false">(ROUND((Allocation!$G$21*100),2)-ROUND((Allocation!$H$21*100),2))</f>
        <v>1.81</v>
      </c>
      <c r="E14" s="47" t="s">
        <v>298</v>
      </c>
    </row>
    <row r="15" customFormat="false" ht="15" hidden="false" customHeight="false" outlineLevel="0" collapsed="false">
      <c r="B15" s="9" t="s">
        <v>299</v>
      </c>
      <c r="C15" s="9" t="s">
        <v>300</v>
      </c>
      <c r="D15" s="46" t="n">
        <f aca="false">(Derived!$D$14*3)</f>
        <v>5.43</v>
      </c>
      <c r="E15" s="47" t="s">
        <v>301</v>
      </c>
    </row>
    <row r="16" customFormat="false" ht="15" hidden="false" customHeight="false" outlineLevel="0" collapsed="false">
      <c r="B16" s="9" t="s">
        <v>302</v>
      </c>
      <c r="C16" s="9" t="s">
        <v>303</v>
      </c>
      <c r="D16" s="46" t="n">
        <f aca="false">(ROUND((Allocation!$G$23*100),2)-(Assumptions!$C$6*100))</f>
        <v>3.46</v>
      </c>
      <c r="E16" s="47" t="s">
        <v>304</v>
      </c>
    </row>
    <row r="17" customFormat="false" ht="15" hidden="false" customHeight="false" outlineLevel="0" collapsed="false">
      <c r="B17" s="9" t="s">
        <v>305</v>
      </c>
      <c r="C17" s="9" t="s">
        <v>306</v>
      </c>
      <c r="D17" s="46" t="n">
        <f aca="false">(ROUND((Base_Quarterly!$C$22*100),2)-(Assumptions!$C$6*100))</f>
        <v>2.02</v>
      </c>
      <c r="E17" s="47" t="s">
        <v>307</v>
      </c>
    </row>
    <row r="18" customFormat="false" ht="15" hidden="false" customHeight="false" outlineLevel="0" collapsed="false">
      <c r="B18" s="9" t="s">
        <v>308</v>
      </c>
      <c r="C18" s="9" t="s">
        <v>309</v>
      </c>
      <c r="D18" s="43" t="n">
        <f aca="false">((Allocation!$E$29+Allocation!$E$30)+Allocation!$E$31)</f>
        <v>250000</v>
      </c>
      <c r="E18" s="47" t="s">
        <v>310</v>
      </c>
    </row>
    <row r="19" customFormat="false" ht="15" hidden="false" customHeight="false" outlineLevel="0" collapsed="false">
      <c r="B19" s="9" t="s">
        <v>311</v>
      </c>
      <c r="C19" s="9" t="s">
        <v>312</v>
      </c>
      <c r="D19" s="46" t="n">
        <f aca="false">(((ROUND((Allocation!$G$27*100),2)-ROUND((Allocation!$H$27*100),2))*(Allocation!$F$27*100))/100)</f>
        <v>0.02</v>
      </c>
      <c r="E19" s="47" t="s">
        <v>313</v>
      </c>
    </row>
    <row r="20" customFormat="false" ht="15" hidden="false" customHeight="false" outlineLevel="0" collapsed="false">
      <c r="B20" s="9" t="s">
        <v>314</v>
      </c>
      <c r="C20" s="9" t="s">
        <v>315</v>
      </c>
      <c r="D20" s="46" t="n">
        <f aca="false">Derived!$D$8</f>
        <v>2.55</v>
      </c>
      <c r="E20" s="47" t="s">
        <v>280</v>
      </c>
    </row>
    <row r="21" customFormat="false" ht="15" hidden="false" customHeight="false" outlineLevel="0" collapsed="false">
      <c r="B21" s="9" t="s">
        <v>316</v>
      </c>
      <c r="C21" s="9" t="s">
        <v>317</v>
      </c>
      <c r="D21" s="46" t="n">
        <f aca="false">((Derived!$D$8*ROUND((Allocation!$F$28*100),1))/100)</f>
        <v>0.3723</v>
      </c>
      <c r="E21" s="47" t="s">
        <v>318</v>
      </c>
    </row>
    <row r="22" customFormat="false" ht="15" hidden="false" customHeight="false" outlineLevel="0" collapsed="false">
      <c r="B22" s="9" t="s">
        <v>319</v>
      </c>
      <c r="C22" s="9" t="s">
        <v>320</v>
      </c>
      <c r="D22" s="46" t="n">
        <f aca="false">(((ROUND((Allocation!$G$30*100),2)-ROUND((Allocation!$H$30*100),2))*(Allocation!$F$30*100))/100)</f>
        <v>0.2355</v>
      </c>
      <c r="E22" s="47" t="s">
        <v>321</v>
      </c>
    </row>
    <row r="23" customFormat="false" ht="15" hidden="false" customHeight="false" outlineLevel="0" collapsed="false">
      <c r="B23" s="9" t="s">
        <v>322</v>
      </c>
      <c r="C23" s="9" t="s">
        <v>323</v>
      </c>
      <c r="D23" s="46" t="n">
        <f aca="false">Derived!$D$14</f>
        <v>1.81</v>
      </c>
      <c r="E23" s="47" t="s">
        <v>298</v>
      </c>
    </row>
    <row r="24" customFormat="false" ht="15" hidden="false" customHeight="false" outlineLevel="0" collapsed="false">
      <c r="B24" s="9" t="s">
        <v>324</v>
      </c>
      <c r="C24" s="9" t="s">
        <v>325</v>
      </c>
      <c r="D24" s="46" t="n">
        <f aca="false">(ROUND(Derived!$D$21,2)+ROUND(((Derived!$D$14*(Allocation!$F$31*100))/100),2))</f>
        <v>0.73</v>
      </c>
      <c r="E24" s="47" t="s">
        <v>326</v>
      </c>
    </row>
    <row r="25" customFormat="false" ht="15" hidden="false" customHeight="false" outlineLevel="0" collapsed="false">
      <c r="B25" s="9" t="s">
        <v>327</v>
      </c>
      <c r="C25" s="9" t="s">
        <v>328</v>
      </c>
      <c r="D25" s="46" t="n">
        <f aca="false">((9*ROUND((Allocation!$C$39*100),2))/100)</f>
        <v>0.2115</v>
      </c>
      <c r="E25" s="47" t="s">
        <v>329</v>
      </c>
    </row>
    <row r="26" customFormat="false" ht="15" hidden="false" customHeight="false" outlineLevel="0" collapsed="false">
      <c r="B26" s="9" t="s">
        <v>330</v>
      </c>
      <c r="C26" s="9" t="s">
        <v>331</v>
      </c>
      <c r="D26" s="46" t="n">
        <f aca="false">(ROUND((Allocation!$G$20*100),2)-ROUND((Allocation!$H$20*100),2))</f>
        <v>4.55</v>
      </c>
      <c r="E26" s="47" t="s">
        <v>332</v>
      </c>
    </row>
    <row r="27" customFormat="false" ht="15" hidden="false" customHeight="false" outlineLevel="0" collapsed="false">
      <c r="B27" s="9" t="s">
        <v>333</v>
      </c>
      <c r="C27" s="9" t="s">
        <v>334</v>
      </c>
      <c r="D27" s="46" t="n">
        <f aca="false">((Derived!$D$26*5)/100)</f>
        <v>0.2275</v>
      </c>
      <c r="E27" s="47" t="s">
        <v>335</v>
      </c>
    </row>
    <row r="28" customFormat="false" ht="15" hidden="false" customHeight="false" outlineLevel="0" collapsed="false">
      <c r="B28" s="9" t="s">
        <v>336</v>
      </c>
      <c r="C28" s="9" t="s">
        <v>337</v>
      </c>
      <c r="D28" s="43" t="n">
        <f aca="false">(Allocation!$C$38+Allocation!$E$20)</f>
        <v>36750</v>
      </c>
      <c r="E28" s="47" t="s">
        <v>338</v>
      </c>
    </row>
    <row r="29" customFormat="false" ht="15" hidden="false" customHeight="false" outlineLevel="0" collapsed="false">
      <c r="B29" s="9" t="s">
        <v>339</v>
      </c>
      <c r="C29" s="9" t="s">
        <v>340</v>
      </c>
      <c r="D29" s="46" t="n">
        <f aca="false">(ROUND(Derived!$D$25,2)+ROUND(Derived!$D$27,2))</f>
        <v>0.44</v>
      </c>
      <c r="E29" s="47" t="s">
        <v>341</v>
      </c>
    </row>
    <row r="30" customFormat="false" ht="15" hidden="false" customHeight="false" outlineLevel="0" collapsed="false">
      <c r="B30" s="9" t="s">
        <v>342</v>
      </c>
      <c r="C30" s="9" t="s">
        <v>343</v>
      </c>
      <c r="D30" s="43" t="n">
        <f aca="false">((Base_Quarterly!$C$20-Allocation!$E$6)-Base_Quarterly!$C$27)</f>
        <v>94937.7193993669</v>
      </c>
      <c r="E30" s="47" t="s">
        <v>344</v>
      </c>
    </row>
    <row r="31" customFormat="false" ht="15" hidden="false" customHeight="false" outlineLevel="0" collapsed="false">
      <c r="B31" s="9" t="s">
        <v>345</v>
      </c>
      <c r="C31" s="9" t="s">
        <v>346</v>
      </c>
      <c r="D31" s="43" t="n">
        <f aca="false">(ROUND(Base_Quarterly!$C$10,0)-ROUND(Base_Quarterly!$C$12,0))</f>
        <v>760</v>
      </c>
      <c r="E31" s="47" t="s">
        <v>347</v>
      </c>
    </row>
    <row r="32" customFormat="false" ht="15" hidden="false" customHeight="false" outlineLevel="0" collapsed="false">
      <c r="B32" s="9" t="s">
        <v>348</v>
      </c>
      <c r="C32" s="9" t="s">
        <v>349</v>
      </c>
      <c r="D32" s="43" t="n">
        <f aca="false">(ROUND(Base_Quarterly!$C$11,0)-ROUND(Base_Quarterly!$C$13,0))</f>
        <v>229</v>
      </c>
      <c r="E32" s="47" t="s">
        <v>350</v>
      </c>
    </row>
    <row r="33" customFormat="false" ht="15" hidden="false" customHeight="false" outlineLevel="0" collapsed="false">
      <c r="B33" s="9" t="s">
        <v>351</v>
      </c>
      <c r="C33" s="9" t="s">
        <v>352</v>
      </c>
      <c r="D33" s="43" t="n">
        <f aca="false">(ROUND(Base_Quarterly!$C$14,0)-Allocation!$E$6)</f>
        <v>11474</v>
      </c>
      <c r="E33" s="47" t="s">
        <v>353</v>
      </c>
    </row>
    <row r="34" customFormat="false" ht="15" hidden="false" customHeight="false" outlineLevel="0" collapsed="false">
      <c r="B34" s="9" t="s">
        <v>354</v>
      </c>
      <c r="C34" s="9" t="s">
        <v>355</v>
      </c>
      <c r="D34" s="43" t="n">
        <f aca="false">(ROUND(Base_Quarterly!$C$16,0)-Base_Quarterly!$C$27)</f>
        <v>10868</v>
      </c>
      <c r="E34" s="47" t="s">
        <v>356</v>
      </c>
    </row>
    <row r="35" customFormat="false" ht="15" hidden="false" customHeight="false" outlineLevel="0" collapsed="false">
      <c r="B35" s="9" t="s">
        <v>357</v>
      </c>
      <c r="C35" s="9" t="s">
        <v>358</v>
      </c>
      <c r="D35" s="43" t="n">
        <f aca="false">(Derived!$D$33-Derived!$D$34)</f>
        <v>606</v>
      </c>
      <c r="E35" s="47" t="s">
        <v>359</v>
      </c>
    </row>
    <row r="36" customFormat="false" ht="15" hidden="false" customHeight="false" outlineLevel="0" collapsed="false">
      <c r="B36" s="9" t="s">
        <v>360</v>
      </c>
      <c r="C36" s="9" t="s">
        <v>361</v>
      </c>
      <c r="D36" s="46" t="n">
        <f aca="false">Derived!$D$6</f>
        <v>1.66</v>
      </c>
      <c r="E36" s="47" t="s">
        <v>274</v>
      </c>
    </row>
    <row r="37" customFormat="false" ht="15" hidden="false" customHeight="false" outlineLevel="0" collapsed="false">
      <c r="B37" s="9" t="s">
        <v>362</v>
      </c>
      <c r="C37" s="9" t="s">
        <v>363</v>
      </c>
      <c r="D37" s="46" t="n">
        <f aca="false">Derived!$D$7</f>
        <v>0.29</v>
      </c>
      <c r="E37" s="47" t="s">
        <v>277</v>
      </c>
    </row>
    <row r="38" customFormat="false" ht="15" hidden="false" customHeight="false" outlineLevel="0" collapsed="false">
      <c r="B38" s="9" t="s">
        <v>364</v>
      </c>
      <c r="C38" s="9" t="s">
        <v>365</v>
      </c>
      <c r="D38" s="46" t="n">
        <f aca="false">(ROUND((Base_Quarterly!$C$26*100),2)-ROUND((Base_Quarterly!$C$22*100),2))</f>
        <v>0.61</v>
      </c>
      <c r="E38" s="47" t="s">
        <v>366</v>
      </c>
    </row>
    <row r="39" customFormat="false" ht="15" hidden="false" customHeight="false" outlineLevel="0" collapsed="false">
      <c r="B39" s="9" t="s">
        <v>367</v>
      </c>
      <c r="C39" s="9" t="s">
        <v>368</v>
      </c>
      <c r="D39" s="43" t="n">
        <f aca="false">Derived!$D$28</f>
        <v>36750</v>
      </c>
      <c r="E39" s="47" t="s">
        <v>338</v>
      </c>
    </row>
    <row r="40" customFormat="false" ht="15" hidden="false" customHeight="false" outlineLevel="0" collapsed="false">
      <c r="B40" s="9" t="s">
        <v>369</v>
      </c>
      <c r="C40" s="9" t="s">
        <v>370</v>
      </c>
      <c r="D40" s="43" t="n">
        <f aca="false">(ROUND(Stress_Test!$J$7,0)-ROUND(Stress_Test!$J$6,0))</f>
        <v>15585</v>
      </c>
      <c r="E40" s="47" t="s">
        <v>371</v>
      </c>
    </row>
    <row r="41" customFormat="false" ht="15" hidden="false" customHeight="false" outlineLevel="0" collapsed="false">
      <c r="B41" s="9" t="s">
        <v>372</v>
      </c>
      <c r="C41" s="9" t="s">
        <v>373</v>
      </c>
      <c r="D41" s="50" t="n">
        <f aca="false">(((Allocation!$E$27+Allocation!$E$28)/Allocation!$C$34)*100)</f>
        <v>39.6</v>
      </c>
      <c r="E41" s="47" t="s">
        <v>374</v>
      </c>
    </row>
    <row r="42" customFormat="false" ht="15" hidden="false" customHeight="false" outlineLevel="0" collapsed="false">
      <c r="B42" s="9" t="s">
        <v>375</v>
      </c>
      <c r="C42" s="9" t="s">
        <v>376</v>
      </c>
      <c r="D42" s="43" t="n">
        <f aca="false">(((Allocation!$E$29+Allocation!$E$30)+Allocation!$E$31)+Allocation!$E$32)</f>
        <v>302000</v>
      </c>
      <c r="E42" s="47" t="s">
        <v>377</v>
      </c>
    </row>
    <row r="43" customFormat="false" ht="15" hidden="false" customHeight="false" outlineLevel="0" collapsed="false">
      <c r="B43" s="9" t="s">
        <v>378</v>
      </c>
      <c r="C43" s="9" t="s">
        <v>379</v>
      </c>
      <c r="D43" s="50" t="n">
        <f aca="false">(((((Allocation!$E$29+Allocation!$E$30)+Allocation!$E$31)+Allocation!$E$32)/Allocation!$C$34)*100)</f>
        <v>60.4</v>
      </c>
      <c r="E43" s="47" t="s">
        <v>380</v>
      </c>
    </row>
    <row r="44" customFormat="false" ht="15" hidden="false" customHeight="false" outlineLevel="0" collapsed="false">
      <c r="B44" s="9" t="s">
        <v>381</v>
      </c>
      <c r="C44" s="9" t="s">
        <v>382</v>
      </c>
      <c r="D44" s="46" t="n">
        <f aca="false">(ROUND((Stress_Test!$E$6*100),2)-ROUND((Stress_Test!$E$8*100),2))</f>
        <v>12.17</v>
      </c>
      <c r="E44" s="47" t="s">
        <v>383</v>
      </c>
    </row>
    <row r="45" customFormat="false" ht="15" hidden="false" customHeight="false" outlineLevel="0" collapsed="false">
      <c r="B45" s="9" t="s">
        <v>384</v>
      </c>
      <c r="C45" s="9" t="s">
        <v>385</v>
      </c>
      <c r="D45" s="46" t="n">
        <f aca="false">(ROUND((Stress_Test!$G$6*100),2)-ROUND((Stress_Test!$G$8*100),2))</f>
        <v>6.71</v>
      </c>
      <c r="E45" s="47" t="s">
        <v>386</v>
      </c>
    </row>
    <row r="46" customFormat="false" ht="15" hidden="false" customHeight="false" outlineLevel="0" collapsed="false">
      <c r="B46" s="9" t="s">
        <v>387</v>
      </c>
      <c r="C46" s="9" t="s">
        <v>388</v>
      </c>
      <c r="D46" s="46" t="n">
        <f aca="false">((Derived!$D$44*ROUND((Allocation!$F$28*100),1))/100)</f>
        <v>1.77682</v>
      </c>
      <c r="E46" s="47" t="s">
        <v>389</v>
      </c>
    </row>
    <row r="47" customFormat="false" ht="15" hidden="false" customHeight="false" outlineLevel="0" collapsed="false">
      <c r="B47" s="9" t="s">
        <v>390</v>
      </c>
      <c r="C47" s="9" t="s">
        <v>391</v>
      </c>
      <c r="D47" s="46" t="n">
        <f aca="false">(ROUND((Stress_Test!$C$6*100),2)-ROUND((Stress_Test!$C$8*100),2))</f>
        <v>3.36</v>
      </c>
      <c r="E47" s="47" t="s">
        <v>392</v>
      </c>
    </row>
    <row r="48" customFormat="false" ht="15" hidden="false" customHeight="false" outlineLevel="0" collapsed="false">
      <c r="B48" s="9" t="s">
        <v>393</v>
      </c>
      <c r="C48" s="9" t="s">
        <v>394</v>
      </c>
      <c r="D48" s="50" t="n">
        <f aca="false">(ROUND((Allocation!$F$28*100),1)+ROUND((Allocation!$F$30*100),1))</f>
        <v>29.6</v>
      </c>
      <c r="E48" s="47" t="s">
        <v>395</v>
      </c>
    </row>
    <row r="49" customFormat="false" ht="15" hidden="false" customHeight="false" outlineLevel="0" collapsed="false">
      <c r="B49" s="9" t="s">
        <v>396</v>
      </c>
      <c r="C49" s="9" t="s">
        <v>397</v>
      </c>
      <c r="D49" s="43" t="n">
        <f aca="false">(ROUND(Stress_Test!$J$10,0)-ROUND(Stress_Test!$J$6,0))</f>
        <v>3439</v>
      </c>
      <c r="E49" s="47" t="s">
        <v>398</v>
      </c>
    </row>
    <row r="50" customFormat="false" ht="15" hidden="false" customHeight="false" outlineLevel="0" collapsed="false">
      <c r="B50" s="9" t="s">
        <v>399</v>
      </c>
      <c r="C50" s="9" t="s">
        <v>400</v>
      </c>
      <c r="D50" s="43" t="n">
        <f aca="false">(ROUND(Stress_Test!$J$6,0)-ROUND(Stress_Test!$J$9,0))</f>
        <v>22018</v>
      </c>
      <c r="E50" s="47" t="s">
        <v>401</v>
      </c>
    </row>
    <row r="51" customFormat="false" ht="15" hidden="false" customHeight="false" outlineLevel="0" collapsed="false">
      <c r="B51" s="9" t="s">
        <v>402</v>
      </c>
      <c r="C51" s="9" t="s">
        <v>403</v>
      </c>
      <c r="D51" s="43" t="n">
        <f aca="false">(ROUND(Stress_Test!$J$6,0)-ROUND(Stress_Test!$J$8,0))</f>
        <v>47601</v>
      </c>
      <c r="E51" s="47" t="s">
        <v>404</v>
      </c>
    </row>
    <row r="52" customFormat="false" ht="15" hidden="false" customHeight="false" outlineLevel="0" collapsed="false">
      <c r="B52" s="9" t="s">
        <v>405</v>
      </c>
      <c r="C52" s="9" t="s">
        <v>406</v>
      </c>
      <c r="D52" s="46" t="n">
        <f aca="false">Derived!$D$6</f>
        <v>1.66</v>
      </c>
      <c r="E52" s="47" t="s">
        <v>274</v>
      </c>
    </row>
    <row r="53" customFormat="false" ht="15" hidden="false" customHeight="false" outlineLevel="0" collapsed="false">
      <c r="B53" s="9" t="s">
        <v>407</v>
      </c>
      <c r="C53" s="9" t="s">
        <v>408</v>
      </c>
      <c r="D53" s="46" t="n">
        <f aca="false">Derived!$D$38</f>
        <v>0.61</v>
      </c>
      <c r="E53" s="47" t="s">
        <v>366</v>
      </c>
    </row>
    <row r="54" customFormat="false" ht="15" hidden="false" customHeight="false" outlineLevel="0" collapsed="false">
      <c r="B54" s="9" t="s">
        <v>409</v>
      </c>
      <c r="C54" s="9" t="s">
        <v>410</v>
      </c>
      <c r="D54" s="46" t="n">
        <f aca="false">(ROUND((Allocation!$G$27*100),2)-ROUND((Allocation!$H$27*100),2))</f>
        <v>0.0800000000000001</v>
      </c>
      <c r="E54" s="47" t="s">
        <v>411</v>
      </c>
    </row>
    <row r="55" customFormat="false" ht="15" hidden="false" customHeight="false" outlineLevel="0" collapsed="false">
      <c r="B55" s="9" t="s">
        <v>412</v>
      </c>
      <c r="C55" s="9" t="s">
        <v>413</v>
      </c>
      <c r="D55" s="43" t="n">
        <f aca="false">((((((Review!$F$6+Review!$F$7)+Review!$F$8)+Review!$F$9)+Review!$F$10)/Stress_Test!$J$6)*100)</f>
        <v>21.1560928746197</v>
      </c>
      <c r="E55" s="47" t="s">
        <v>414</v>
      </c>
    </row>
    <row r="56" customFormat="false" ht="15" hidden="false" customHeight="false" outlineLevel="0" collapsed="false">
      <c r="B56" s="9" t="s">
        <v>415</v>
      </c>
      <c r="C56" s="9" t="s">
        <v>416</v>
      </c>
      <c r="D56" s="46" t="n">
        <f aca="false">(ROUND((Stress_Test!$D$6*100),2)-ROUND((Stress_Test!$D$7*100),2))</f>
        <v>0.75</v>
      </c>
      <c r="E56" s="47" t="s">
        <v>417</v>
      </c>
    </row>
    <row r="57" customFormat="false" ht="15" hidden="false" customHeight="false" outlineLevel="0" collapsed="false">
      <c r="B57" s="9" t="s">
        <v>418</v>
      </c>
      <c r="C57" s="9" t="s">
        <v>419</v>
      </c>
      <c r="D57" s="46" t="n">
        <f aca="false">((Derived!$D$45*ROUND((Allocation!$F$30*100),1))/100)</f>
        <v>1.0065</v>
      </c>
      <c r="E57" s="47" t="s">
        <v>420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3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8"/>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421</v>
      </c>
    </row>
    <row r="3" customFormat="false" ht="15" hidden="false" customHeight="false" outlineLevel="0" collapsed="false">
      <c r="B3" s="6" t="s">
        <v>422</v>
      </c>
    </row>
    <row r="4" customFormat="false" ht="15" hidden="false" customHeight="false" outlineLevel="0" collapsed="false">
      <c r="C4" s="29" t="s">
        <v>423</v>
      </c>
      <c r="E4" s="51" t="n">
        <f aca="false">ROWS(I10:I386)</f>
        <v>377</v>
      </c>
    </row>
    <row r="5" customFormat="false" ht="15" hidden="false" customHeight="false" outlineLevel="0" collapsed="false">
      <c r="C5" s="29" t="s">
        <v>424</v>
      </c>
      <c r="E5" s="51" t="n">
        <f aca="false">COUNTIF(I10:I386,"PASS")</f>
        <v>377</v>
      </c>
    </row>
    <row r="6" customFormat="false" ht="15" hidden="false" customHeight="false" outlineLevel="0" collapsed="false">
      <c r="C6" s="29" t="s">
        <v>425</v>
      </c>
      <c r="E6" s="51" t="n">
        <f aca="false">COUNTIF(I10:I386,"FAIL")</f>
        <v>0</v>
      </c>
    </row>
    <row r="7" customFormat="false" ht="15" hidden="false" customHeight="false" outlineLevel="0" collapsed="false">
      <c r="C7" s="29" t="s">
        <v>426</v>
      </c>
      <c r="D7" s="29"/>
      <c r="E7" s="52" t="str">
        <f aca="false">IFERROR(IF(AND(E5=E4,E6=0,SUMPRODUCT(--ISERROR(F10:F386))=0),"PASS","FAIL"),"FAIL")</f>
        <v>PASS</v>
      </c>
    </row>
    <row r="9" customFormat="false" ht="21.75" hidden="false" customHeight="true" outlineLevel="0" collapsed="false">
      <c r="B9" s="13" t="s">
        <v>427</v>
      </c>
      <c r="C9" s="14" t="s">
        <v>428</v>
      </c>
      <c r="D9" s="14" t="s">
        <v>429</v>
      </c>
      <c r="E9" s="14" t="s">
        <v>430</v>
      </c>
      <c r="F9" s="14" t="s">
        <v>431</v>
      </c>
      <c r="G9" s="14" t="s">
        <v>432</v>
      </c>
      <c r="H9" s="14" t="s">
        <v>433</v>
      </c>
      <c r="I9" s="14" t="s">
        <v>434</v>
      </c>
    </row>
    <row r="10" customFormat="false" ht="15" hidden="false" customHeight="false" outlineLevel="0" collapsed="false">
      <c r="B10" s="28" t="n">
        <v>1</v>
      </c>
      <c r="C10" s="9" t="s">
        <v>435</v>
      </c>
      <c r="D10" s="9" t="s">
        <v>436</v>
      </c>
      <c r="E10" s="10" t="n">
        <v>0.04</v>
      </c>
      <c r="F10" s="53" t="n">
        <f aca="false">Assumptions!$C$6</f>
        <v>0.04</v>
      </c>
      <c r="G10" s="44" t="n">
        <f aca="false">IFERROR(IF(ISNUMBER(F10),F10-E10,"n/a"),"n/a")</f>
        <v>0</v>
      </c>
      <c r="H10" s="54" t="n">
        <v>5.0001E-005</v>
      </c>
      <c r="I10" s="52" t="str">
        <f aca="false">IFERROR(IF(ISNUMBER(F10),IF(ABS(F10-E10)&lt;=H10,"PASS","FAIL"),"FAIL"),"FAIL")</f>
        <v>PASS</v>
      </c>
    </row>
    <row r="11" customFormat="false" ht="15" hidden="false" customHeight="false" outlineLevel="0" collapsed="false">
      <c r="B11" s="28" t="n">
        <v>2</v>
      </c>
      <c r="C11" s="9" t="s">
        <v>435</v>
      </c>
      <c r="D11" s="9" t="s">
        <v>437</v>
      </c>
      <c r="E11" s="55" t="n">
        <v>12500</v>
      </c>
      <c r="F11" s="43" t="n">
        <f aca="false">Assumptions!$C$29</f>
        <v>12500</v>
      </c>
      <c r="G11" s="44" t="n">
        <f aca="false">IFERROR(IF(ISNUMBER(F11),F11-E11,"n/a"),"n/a")</f>
        <v>0</v>
      </c>
      <c r="H11" s="54" t="n">
        <v>0.500000001</v>
      </c>
      <c r="I11" s="52" t="str">
        <f aca="false">IFERROR(IF(ISNUMBER(F11),IF(ABS(F11-E11)&lt;=H11,"PASS","FAIL"),"FAIL"),"FAIL")</f>
        <v>PASS</v>
      </c>
    </row>
    <row r="12" customFormat="false" ht="15" hidden="false" customHeight="false" outlineLevel="0" collapsed="false">
      <c r="B12" s="28" t="n">
        <v>3</v>
      </c>
      <c r="C12" s="9" t="s">
        <v>435</v>
      </c>
      <c r="D12" s="9" t="s">
        <v>438</v>
      </c>
      <c r="E12" s="12" t="n">
        <v>0.4</v>
      </c>
      <c r="F12" s="17" t="n">
        <f aca="false">Assumptions!$C$8</f>
        <v>0.4</v>
      </c>
      <c r="G12" s="44" t="n">
        <f aca="false">IFERROR(IF(ISNUMBER(F12),F12-E12,"n/a"),"n/a")</f>
        <v>0</v>
      </c>
      <c r="H12" s="54" t="n">
        <v>0.005000001</v>
      </c>
      <c r="I12" s="52" t="str">
        <f aca="false">IFERROR(IF(ISNUMBER(F12),IF(ABS(F12-E12)&lt;=H12,"PASS","FAIL"),"FAIL"),"FAIL")</f>
        <v>PASS</v>
      </c>
    </row>
    <row r="13" customFormat="false" ht="15" hidden="false" customHeight="false" outlineLevel="0" collapsed="false">
      <c r="B13" s="28" t="n">
        <v>4</v>
      </c>
      <c r="C13" s="9" t="s">
        <v>435</v>
      </c>
      <c r="D13" s="9" t="s">
        <v>439</v>
      </c>
      <c r="E13" s="12" t="n">
        <v>0.65</v>
      </c>
      <c r="F13" s="17" t="n">
        <f aca="false">Assumptions!$C$9</f>
        <v>0.65</v>
      </c>
      <c r="G13" s="44" t="n">
        <f aca="false">IFERROR(IF(ISNUMBER(F13),F13-E13,"n/a"),"n/a")</f>
        <v>0</v>
      </c>
      <c r="H13" s="54" t="n">
        <v>0.005000001</v>
      </c>
      <c r="I13" s="52" t="str">
        <f aca="false">IFERROR(IF(ISNUMBER(F13),IF(ABS(F13-E13)&lt;=H13,"PASS","FAIL"),"FAIL"),"FAIL")</f>
        <v>PASS</v>
      </c>
    </row>
    <row r="14" customFormat="false" ht="15" hidden="false" customHeight="false" outlineLevel="0" collapsed="false">
      <c r="B14" s="28" t="n">
        <v>5</v>
      </c>
      <c r="C14" s="9" t="s">
        <v>435</v>
      </c>
      <c r="D14" s="9" t="s">
        <v>440</v>
      </c>
      <c r="E14" s="10" t="n">
        <v>0.036</v>
      </c>
      <c r="F14" s="53" t="n">
        <f aca="false">Assumptions!$C$42</f>
        <v>0.036</v>
      </c>
      <c r="G14" s="44" t="n">
        <f aca="false">IFERROR(IF(ISNUMBER(F14),F14-E14,"n/a"),"n/a")</f>
        <v>0</v>
      </c>
      <c r="H14" s="54" t="n">
        <v>5.0001E-005</v>
      </c>
      <c r="I14" s="52" t="str">
        <f aca="false">IFERROR(IF(ISNUMBER(F14),IF(ABS(F14-E14)&lt;=H14,"PASS","FAIL"),"FAIL"),"FAIL")</f>
        <v>PASS</v>
      </c>
    </row>
    <row r="15" customFormat="false" ht="15" hidden="false" customHeight="false" outlineLevel="0" collapsed="false">
      <c r="B15" s="28" t="n">
        <v>6</v>
      </c>
      <c r="C15" s="9" t="s">
        <v>435</v>
      </c>
      <c r="D15" s="9" t="s">
        <v>441</v>
      </c>
      <c r="E15" s="10" t="n">
        <v>0.0095</v>
      </c>
      <c r="F15" s="53" t="n">
        <f aca="false">Assumptions!$C$43</f>
        <v>0.0095</v>
      </c>
      <c r="G15" s="44" t="n">
        <f aca="false">IFERROR(IF(ISNUMBER(F15),F15-E15,"n/a"),"n/a")</f>
        <v>0</v>
      </c>
      <c r="H15" s="54" t="n">
        <v>5.0001E-005</v>
      </c>
      <c r="I15" s="52" t="str">
        <f aca="false">IFERROR(IF(ISNUMBER(F15),IF(ABS(F15-E15)&lt;=H15,"PASS","FAIL"),"FAIL"),"FAIL")</f>
        <v>PASS</v>
      </c>
    </row>
    <row r="16" customFormat="false" ht="15" hidden="false" customHeight="false" outlineLevel="0" collapsed="false">
      <c r="B16" s="28" t="n">
        <v>7</v>
      </c>
      <c r="C16" s="9" t="s">
        <v>435</v>
      </c>
      <c r="D16" s="9" t="s">
        <v>442</v>
      </c>
      <c r="E16" s="18" t="n">
        <v>10</v>
      </c>
      <c r="F16" s="46" t="n">
        <f aca="false">Assumptions!$C$41</f>
        <v>10</v>
      </c>
      <c r="G16" s="44" t="n">
        <f aca="false">IFERROR(IF(ISNUMBER(F16),F16-E16,"n/a"),"n/a")</f>
        <v>0</v>
      </c>
      <c r="H16" s="54" t="n">
        <v>0.005000001</v>
      </c>
      <c r="I16" s="52" t="str">
        <f aca="false">IFERROR(IF(ISNUMBER(F16),IF(ABS(F16-E16)&lt;=H16,"PASS","FAIL"),"FAIL"),"FAIL")</f>
        <v>PASS</v>
      </c>
    </row>
    <row r="17" customFormat="false" ht="15" hidden="false" customHeight="false" outlineLevel="0" collapsed="false">
      <c r="B17" s="28" t="n">
        <v>8</v>
      </c>
      <c r="C17" s="9" t="s">
        <v>435</v>
      </c>
      <c r="D17" s="9" t="s">
        <v>443</v>
      </c>
      <c r="E17" s="18" t="n">
        <v>25</v>
      </c>
      <c r="F17" s="46" t="n">
        <f aca="false">Assumptions!$C$70</f>
        <v>25</v>
      </c>
      <c r="G17" s="44" t="n">
        <f aca="false">IFERROR(IF(ISNUMBER(F17),F17-E17,"n/a"),"n/a")</f>
        <v>0</v>
      </c>
      <c r="H17" s="54" t="n">
        <v>0.005000001</v>
      </c>
      <c r="I17" s="52" t="str">
        <f aca="false">IFERROR(IF(ISNUMBER(F17),IF(ABS(F17-E17)&lt;=H17,"PASS","FAIL"),"FAIL"),"FAIL")</f>
        <v>PASS</v>
      </c>
    </row>
    <row r="18" customFormat="false" ht="15" hidden="false" customHeight="false" outlineLevel="0" collapsed="false">
      <c r="B18" s="28" t="n">
        <v>9</v>
      </c>
      <c r="C18" s="9" t="s">
        <v>435</v>
      </c>
      <c r="D18" s="9" t="s">
        <v>444</v>
      </c>
      <c r="E18" s="10" t="n">
        <v>0.0225</v>
      </c>
      <c r="F18" s="53" t="n">
        <f aca="false">Assumptions!$C$75</f>
        <v>0.0225</v>
      </c>
      <c r="G18" s="44" t="n">
        <f aca="false">IFERROR(IF(ISNUMBER(F18),F18-E18,"n/a"),"n/a")</f>
        <v>0</v>
      </c>
      <c r="H18" s="54" t="n">
        <v>5.0001E-005</v>
      </c>
      <c r="I18" s="52" t="str">
        <f aca="false">IFERROR(IF(ISNUMBER(F18),IF(ABS(F18-E18)&lt;=H18,"PASS","FAIL"),"FAIL"),"FAIL")</f>
        <v>PASS</v>
      </c>
    </row>
    <row r="19" customFormat="false" ht="15" hidden="false" customHeight="false" outlineLevel="0" collapsed="false">
      <c r="B19" s="28" t="n">
        <v>10</v>
      </c>
      <c r="C19" s="9" t="s">
        <v>435</v>
      </c>
      <c r="D19" s="9" t="s">
        <v>445</v>
      </c>
      <c r="E19" s="56" t="n">
        <v>0.5625</v>
      </c>
      <c r="F19" s="49" t="n">
        <f aca="false">Assumptions!$C$71</f>
        <v>0.5625</v>
      </c>
      <c r="G19" s="44" t="n">
        <f aca="false">IFERROR(IF(ISNUMBER(F19),F19-E19,"n/a"),"n/a")</f>
        <v>0</v>
      </c>
      <c r="H19" s="54" t="n">
        <v>5.0001E-005</v>
      </c>
      <c r="I19" s="52" t="str">
        <f aca="false">IFERROR(IF(ISNUMBER(F19),IF(ABS(F19-E19)&lt;=H19,"PASS","FAIL"),"FAIL"),"FAIL")</f>
        <v>PASS</v>
      </c>
    </row>
    <row r="20" customFormat="false" ht="15" hidden="false" customHeight="false" outlineLevel="0" collapsed="false">
      <c r="B20" s="28" t="n">
        <v>11</v>
      </c>
      <c r="C20" s="9" t="s">
        <v>435</v>
      </c>
      <c r="D20" s="9" t="s">
        <v>446</v>
      </c>
      <c r="E20" s="10" t="n">
        <v>0.085</v>
      </c>
      <c r="F20" s="53" t="n">
        <f aca="false">Assumptions!$D$37</f>
        <v>0.085</v>
      </c>
      <c r="G20" s="44" t="n">
        <f aca="false">IFERROR(IF(ISNUMBER(F20),F20-E20,"n/a"),"n/a")</f>
        <v>0</v>
      </c>
      <c r="H20" s="54" t="n">
        <v>5.0001E-005</v>
      </c>
      <c r="I20" s="52" t="str">
        <f aca="false">IFERROR(IF(ISNUMBER(F20),IF(ABS(F20-E20)&lt;=H20,"PASS","FAIL"),"FAIL"),"FAIL")</f>
        <v>PASS</v>
      </c>
    </row>
    <row r="21" customFormat="false" ht="15" hidden="false" customHeight="false" outlineLevel="0" collapsed="false">
      <c r="B21" s="28" t="n">
        <v>12</v>
      </c>
      <c r="C21" s="9" t="s">
        <v>435</v>
      </c>
      <c r="D21" s="9" t="s">
        <v>447</v>
      </c>
      <c r="E21" s="18" t="n">
        <v>94</v>
      </c>
      <c r="F21" s="46" t="n">
        <f aca="false">Assumptions!$E$37</f>
        <v>94</v>
      </c>
      <c r="G21" s="44" t="n">
        <f aca="false">IFERROR(IF(ISNUMBER(F21),F21-E21,"n/a"),"n/a")</f>
        <v>0</v>
      </c>
      <c r="H21" s="54" t="n">
        <v>0.005000001</v>
      </c>
      <c r="I21" s="52" t="str">
        <f aca="false">IFERROR(IF(ISNUMBER(F21),IF(ABS(F21-E21)&lt;=H21,"PASS","FAIL"),"FAIL"),"FAIL")</f>
        <v>PASS</v>
      </c>
    </row>
    <row r="22" customFormat="false" ht="15" hidden="false" customHeight="false" outlineLevel="0" collapsed="false">
      <c r="B22" s="28" t="n">
        <v>13</v>
      </c>
      <c r="C22" s="9" t="s">
        <v>435</v>
      </c>
      <c r="D22" s="9" t="s">
        <v>448</v>
      </c>
      <c r="E22" s="18" t="n">
        <v>19</v>
      </c>
      <c r="F22" s="46" t="n">
        <f aca="false">Assumptions!$C$50</f>
        <v>19</v>
      </c>
      <c r="G22" s="44" t="n">
        <f aca="false">IFERROR(IF(ISNUMBER(F22),F22-E22,"n/a"),"n/a")</f>
        <v>0</v>
      </c>
      <c r="H22" s="54" t="n">
        <v>0.005000001</v>
      </c>
      <c r="I22" s="52" t="str">
        <f aca="false">IFERROR(IF(ISNUMBER(F22),IF(ABS(F22-E22)&lt;=H22,"PASS","FAIL"),"FAIL"),"FAIL")</f>
        <v>PASS</v>
      </c>
    </row>
    <row r="23" customFormat="false" ht="15" hidden="false" customHeight="false" outlineLevel="0" collapsed="false">
      <c r="B23" s="28" t="n">
        <v>14</v>
      </c>
      <c r="C23" s="9" t="s">
        <v>435</v>
      </c>
      <c r="D23" s="9" t="s">
        <v>449</v>
      </c>
      <c r="E23" s="18" t="n">
        <v>1.1</v>
      </c>
      <c r="F23" s="46" t="n">
        <f aca="false">Assumptions!$C$54</f>
        <v>1.1</v>
      </c>
      <c r="G23" s="44" t="n">
        <f aca="false">IFERROR(IF(ISNUMBER(F23),F23-E23,"n/a"),"n/a")</f>
        <v>0</v>
      </c>
      <c r="H23" s="54" t="n">
        <v>0.005000001</v>
      </c>
      <c r="I23" s="52" t="str">
        <f aca="false">IFERROR(IF(ISNUMBER(F23),IF(ABS(F23-E23)&lt;=H23,"PASS","FAIL"),"FAIL"),"FAIL")</f>
        <v>PASS</v>
      </c>
    </row>
    <row r="24" customFormat="false" ht="15" hidden="false" customHeight="false" outlineLevel="0" collapsed="false">
      <c r="B24" s="28" t="n">
        <v>15</v>
      </c>
      <c r="C24" s="9" t="s">
        <v>435</v>
      </c>
      <c r="D24" s="9" t="s">
        <v>450</v>
      </c>
      <c r="E24" s="10" t="n">
        <v>0.06</v>
      </c>
      <c r="F24" s="53" t="n">
        <f aca="false">Assumptions!$C$55</f>
        <v>0.06</v>
      </c>
      <c r="G24" s="44" t="n">
        <f aca="false">IFERROR(IF(ISNUMBER(F24),F24-E24,"n/a"),"n/a")</f>
        <v>0</v>
      </c>
      <c r="H24" s="54" t="n">
        <v>5.0001E-005</v>
      </c>
      <c r="I24" s="52" t="str">
        <f aca="false">IFERROR(IF(ISNUMBER(F24),IF(ABS(F24-E24)&lt;=H24,"PASS","FAIL"),"FAIL"),"FAIL")</f>
        <v>PASS</v>
      </c>
    </row>
    <row r="25" customFormat="false" ht="15" hidden="false" customHeight="false" outlineLevel="0" collapsed="false">
      <c r="B25" s="28" t="n">
        <v>16</v>
      </c>
      <c r="C25" s="9" t="s">
        <v>435</v>
      </c>
      <c r="D25" s="9" t="s">
        <v>451</v>
      </c>
      <c r="E25" s="10" t="n">
        <v>0.015</v>
      </c>
      <c r="F25" s="53" t="n">
        <f aca="false">Assumptions!$C$56</f>
        <v>0.015</v>
      </c>
      <c r="G25" s="44" t="n">
        <f aca="false">IFERROR(IF(ISNUMBER(F25),F25-E25,"n/a"),"n/a")</f>
        <v>0</v>
      </c>
      <c r="H25" s="54" t="n">
        <v>5.0001E-005</v>
      </c>
      <c r="I25" s="52" t="str">
        <f aca="false">IFERROR(IF(ISNUMBER(F25),IF(ABS(F25-E25)&lt;=H25,"PASS","FAIL"),"FAIL"),"FAIL")</f>
        <v>PASS</v>
      </c>
    </row>
    <row r="26" customFormat="false" ht="15" hidden="false" customHeight="false" outlineLevel="0" collapsed="false">
      <c r="B26" s="28" t="n">
        <v>17</v>
      </c>
      <c r="C26" s="9" t="s">
        <v>435</v>
      </c>
      <c r="D26" s="9" t="s">
        <v>452</v>
      </c>
      <c r="E26" s="10" t="n">
        <v>0.009</v>
      </c>
      <c r="F26" s="53" t="n">
        <f aca="false">Assumptions!$C$57</f>
        <v>0.009</v>
      </c>
      <c r="G26" s="44" t="n">
        <f aca="false">IFERROR(IF(ISNUMBER(F26),F26-E26,"n/a"),"n/a")</f>
        <v>0</v>
      </c>
      <c r="H26" s="54" t="n">
        <v>5.0001E-005</v>
      </c>
      <c r="I26" s="52" t="str">
        <f aca="false">IFERROR(IF(ISNUMBER(F26),IF(ABS(F26-E26)&lt;=H26,"PASS","FAIL"),"FAIL"),"FAIL")</f>
        <v>PASS</v>
      </c>
    </row>
    <row r="27" customFormat="false" ht="15" hidden="false" customHeight="false" outlineLevel="0" collapsed="false">
      <c r="B27" s="28" t="n">
        <v>18</v>
      </c>
      <c r="C27" s="9" t="s">
        <v>435</v>
      </c>
      <c r="D27" s="9" t="s">
        <v>453</v>
      </c>
      <c r="E27" s="21" t="n">
        <v>0.175</v>
      </c>
      <c r="F27" s="57" t="n">
        <f aca="false">Assumptions!$C$58</f>
        <v>0.175</v>
      </c>
      <c r="G27" s="44" t="n">
        <f aca="false">IFERROR(IF(ISNUMBER(F27),F27-E27,"n/a"),"n/a")</f>
        <v>0</v>
      </c>
      <c r="H27" s="54" t="n">
        <v>0.000500001</v>
      </c>
      <c r="I27" s="52" t="str">
        <f aca="false">IFERROR(IF(ISNUMBER(F27),IF(ABS(F27-E27)&lt;=H27,"PASS","FAIL"),"FAIL"),"FAIL")</f>
        <v>PASS</v>
      </c>
    </row>
    <row r="28" customFormat="false" ht="15" hidden="false" customHeight="false" outlineLevel="0" collapsed="false">
      <c r="B28" s="28" t="n">
        <v>19</v>
      </c>
      <c r="C28" s="9" t="s">
        <v>435</v>
      </c>
      <c r="D28" s="9" t="s">
        <v>454</v>
      </c>
      <c r="E28" s="10" t="n">
        <v>0.006</v>
      </c>
      <c r="F28" s="53" t="n">
        <f aca="false">Assumptions!$C$59</f>
        <v>0.006</v>
      </c>
      <c r="G28" s="44" t="n">
        <f aca="false">IFERROR(IF(ISNUMBER(F28),F28-E28,"n/a"),"n/a")</f>
        <v>0</v>
      </c>
      <c r="H28" s="54" t="n">
        <v>5.0001E-005</v>
      </c>
      <c r="I28" s="52" t="str">
        <f aca="false">IFERROR(IF(ISNUMBER(F28),IF(ABS(F28-E28)&lt;=H28,"PASS","FAIL"),"FAIL"),"FAIL")</f>
        <v>PASS</v>
      </c>
    </row>
    <row r="29" customFormat="false" ht="15" hidden="false" customHeight="false" outlineLevel="0" collapsed="false">
      <c r="B29" s="28" t="n">
        <v>20</v>
      </c>
      <c r="C29" s="9" t="s">
        <v>435</v>
      </c>
      <c r="D29" s="9" t="s">
        <v>455</v>
      </c>
      <c r="E29" s="18" t="n">
        <v>0.48</v>
      </c>
      <c r="F29" s="46" t="n">
        <f aca="false">Assumptions!$C$52</f>
        <v>0.48</v>
      </c>
      <c r="G29" s="44" t="n">
        <f aca="false">IFERROR(IF(ISNUMBER(F29),F29-E29,"n/a"),"n/a")</f>
        <v>0</v>
      </c>
      <c r="H29" s="54" t="n">
        <v>0.005000001</v>
      </c>
      <c r="I29" s="52" t="str">
        <f aca="false">IFERROR(IF(ISNUMBER(F29),IF(ABS(F29-E29)&lt;=H29,"PASS","FAIL"),"FAIL"),"FAIL")</f>
        <v>PASS</v>
      </c>
    </row>
    <row r="30" customFormat="false" ht="15" hidden="false" customHeight="false" outlineLevel="0" collapsed="false">
      <c r="B30" s="28" t="n">
        <v>21</v>
      </c>
      <c r="C30" s="9" t="s">
        <v>435</v>
      </c>
      <c r="D30" s="9" t="s">
        <v>456</v>
      </c>
      <c r="E30" s="18" t="n">
        <v>20</v>
      </c>
      <c r="F30" s="46" t="n">
        <f aca="false">Assumptions!$C$51</f>
        <v>20</v>
      </c>
      <c r="G30" s="44" t="n">
        <f aca="false">IFERROR(IF(ISNUMBER(F30),F30-E30,"n/a"),"n/a")</f>
        <v>0</v>
      </c>
      <c r="H30" s="54" t="n">
        <v>0.005000001</v>
      </c>
      <c r="I30" s="52" t="str">
        <f aca="false">IFERROR(IF(ISNUMBER(F30),IF(ABS(F30-E30)&lt;=H30,"PASS","FAIL"),"FAIL"),"FAIL")</f>
        <v>PASS</v>
      </c>
    </row>
    <row r="31" customFormat="false" ht="15" hidden="false" customHeight="false" outlineLevel="0" collapsed="false">
      <c r="B31" s="28" t="n">
        <v>22</v>
      </c>
      <c r="C31" s="9" t="s">
        <v>435</v>
      </c>
      <c r="D31" s="9" t="s">
        <v>457</v>
      </c>
      <c r="E31" s="18" t="n">
        <v>15</v>
      </c>
      <c r="F31" s="46" t="n">
        <f aca="false">Assumptions!$D$50</f>
        <v>15</v>
      </c>
      <c r="G31" s="44" t="n">
        <f aca="false">IFERROR(IF(ISNUMBER(F31),F31-E31,"n/a"),"n/a")</f>
        <v>0</v>
      </c>
      <c r="H31" s="54" t="n">
        <v>0.005000001</v>
      </c>
      <c r="I31" s="52" t="str">
        <f aca="false">IFERROR(IF(ISNUMBER(F31),IF(ABS(F31-E31)&lt;=H31,"PASS","FAIL"),"FAIL"),"FAIL")</f>
        <v>PASS</v>
      </c>
    </row>
    <row r="32" customFormat="false" ht="15" hidden="false" customHeight="false" outlineLevel="0" collapsed="false">
      <c r="B32" s="28" t="n">
        <v>23</v>
      </c>
      <c r="C32" s="9" t="s">
        <v>435</v>
      </c>
      <c r="D32" s="9" t="s">
        <v>458</v>
      </c>
      <c r="E32" s="18" t="n">
        <v>1</v>
      </c>
      <c r="F32" s="46" t="n">
        <f aca="false">Assumptions!$D$54</f>
        <v>1</v>
      </c>
      <c r="G32" s="44" t="n">
        <f aca="false">IFERROR(IF(ISNUMBER(F32),F32-E32,"n/a"),"n/a")</f>
        <v>0</v>
      </c>
      <c r="H32" s="54" t="n">
        <v>0.005000001</v>
      </c>
      <c r="I32" s="52" t="str">
        <f aca="false">IFERROR(IF(ISNUMBER(F32),IF(ABS(F32-E32)&lt;=H32,"PASS","FAIL"),"FAIL"),"FAIL")</f>
        <v>PASS</v>
      </c>
    </row>
    <row r="33" customFormat="false" ht="15" hidden="false" customHeight="false" outlineLevel="0" collapsed="false">
      <c r="B33" s="28" t="n">
        <v>24</v>
      </c>
      <c r="C33" s="9" t="s">
        <v>435</v>
      </c>
      <c r="D33" s="9" t="s">
        <v>459</v>
      </c>
      <c r="E33" s="10" t="n">
        <v>0.058</v>
      </c>
      <c r="F33" s="53" t="n">
        <f aca="false">Assumptions!$D$55</f>
        <v>0.058</v>
      </c>
      <c r="G33" s="44" t="n">
        <f aca="false">IFERROR(IF(ISNUMBER(F33),F33-E33,"n/a"),"n/a")</f>
        <v>0</v>
      </c>
      <c r="H33" s="54" t="n">
        <v>5.0001E-005</v>
      </c>
      <c r="I33" s="52" t="str">
        <f aca="false">IFERROR(IF(ISNUMBER(F33),IF(ABS(F33-E33)&lt;=H33,"PASS","FAIL"),"FAIL"),"FAIL")</f>
        <v>PASS</v>
      </c>
    </row>
    <row r="34" customFormat="false" ht="15" hidden="false" customHeight="false" outlineLevel="0" collapsed="false">
      <c r="B34" s="28" t="n">
        <v>25</v>
      </c>
      <c r="C34" s="9" t="s">
        <v>435</v>
      </c>
      <c r="D34" s="9" t="s">
        <v>460</v>
      </c>
      <c r="E34" s="10" t="n">
        <v>0</v>
      </c>
      <c r="F34" s="53" t="n">
        <f aca="false">Assumptions!$D$56</f>
        <v>0</v>
      </c>
      <c r="G34" s="44" t="n">
        <f aca="false">IFERROR(IF(ISNUMBER(F34),F34-E34,"n/a"),"n/a")</f>
        <v>0</v>
      </c>
      <c r="H34" s="54" t="n">
        <v>5.0001E-005</v>
      </c>
      <c r="I34" s="52" t="str">
        <f aca="false">IFERROR(IF(ISNUMBER(F34),IF(ABS(F34-E34)&lt;=H34,"PASS","FAIL"),"FAIL"),"FAIL")</f>
        <v>PASS</v>
      </c>
    </row>
    <row r="35" customFormat="false" ht="15" hidden="false" customHeight="false" outlineLevel="0" collapsed="false">
      <c r="B35" s="28" t="n">
        <v>26</v>
      </c>
      <c r="C35" s="9" t="s">
        <v>435</v>
      </c>
      <c r="D35" s="9" t="s">
        <v>461</v>
      </c>
      <c r="E35" s="10" t="n">
        <v>0.02</v>
      </c>
      <c r="F35" s="53" t="n">
        <f aca="false">Assumptions!$D$57</f>
        <v>0.02</v>
      </c>
      <c r="G35" s="44" t="n">
        <f aca="false">IFERROR(IF(ISNUMBER(F35),F35-E35,"n/a"),"n/a")</f>
        <v>0</v>
      </c>
      <c r="H35" s="54" t="n">
        <v>5.0001E-005</v>
      </c>
      <c r="I35" s="52" t="str">
        <f aca="false">IFERROR(IF(ISNUMBER(F35),IF(ABS(F35-E35)&lt;=H35,"PASS","FAIL"),"FAIL"),"FAIL")</f>
        <v>PASS</v>
      </c>
    </row>
    <row r="36" customFormat="false" ht="15" hidden="false" customHeight="false" outlineLevel="0" collapsed="false">
      <c r="B36" s="28" t="n">
        <v>27</v>
      </c>
      <c r="C36" s="9" t="s">
        <v>435</v>
      </c>
      <c r="D36" s="9" t="s">
        <v>462</v>
      </c>
      <c r="E36" s="21" t="n">
        <v>0</v>
      </c>
      <c r="F36" s="57" t="n">
        <f aca="false">Assumptions!$D$58</f>
        <v>0</v>
      </c>
      <c r="G36" s="44" t="n">
        <f aca="false">IFERROR(IF(ISNUMBER(F36),F36-E36,"n/a"),"n/a")</f>
        <v>0</v>
      </c>
      <c r="H36" s="54" t="n">
        <v>0.000500001</v>
      </c>
      <c r="I36" s="52" t="str">
        <f aca="false">IFERROR(IF(ISNUMBER(F36),IF(ABS(F36-E36)&lt;=H36,"PASS","FAIL"),"FAIL"),"FAIL")</f>
        <v>PASS</v>
      </c>
    </row>
    <row r="37" customFormat="false" ht="15" hidden="false" customHeight="false" outlineLevel="0" collapsed="false">
      <c r="B37" s="28" t="n">
        <v>28</v>
      </c>
      <c r="C37" s="9" t="s">
        <v>435</v>
      </c>
      <c r="D37" s="9" t="s">
        <v>463</v>
      </c>
      <c r="E37" s="10" t="n">
        <v>0.005</v>
      </c>
      <c r="F37" s="53" t="n">
        <f aca="false">Assumptions!$D$59</f>
        <v>0.005</v>
      </c>
      <c r="G37" s="44" t="n">
        <f aca="false">IFERROR(IF(ISNUMBER(F37),F37-E37,"n/a"),"n/a")</f>
        <v>0</v>
      </c>
      <c r="H37" s="54" t="n">
        <v>5.0001E-005</v>
      </c>
      <c r="I37" s="52" t="str">
        <f aca="false">IFERROR(IF(ISNUMBER(F37),IF(ABS(F37-E37)&lt;=H37,"PASS","FAIL"),"FAIL"),"FAIL")</f>
        <v>PASS</v>
      </c>
    </row>
    <row r="38" customFormat="false" ht="15" hidden="false" customHeight="false" outlineLevel="0" collapsed="false">
      <c r="B38" s="28" t="n">
        <v>29</v>
      </c>
      <c r="C38" s="9" t="s">
        <v>435</v>
      </c>
      <c r="D38" s="9" t="s">
        <v>464</v>
      </c>
      <c r="E38" s="18" t="n">
        <v>0.4</v>
      </c>
      <c r="F38" s="46" t="n">
        <f aca="false">Assumptions!$D$52</f>
        <v>0.4</v>
      </c>
      <c r="G38" s="44" t="n">
        <f aca="false">IFERROR(IF(ISNUMBER(F38),F38-E38,"n/a"),"n/a")</f>
        <v>0</v>
      </c>
      <c r="H38" s="54" t="n">
        <v>0.005000001</v>
      </c>
      <c r="I38" s="52" t="str">
        <f aca="false">IFERROR(IF(ISNUMBER(F38),IF(ABS(F38-E38)&lt;=H38,"PASS","FAIL"),"FAIL"),"FAIL")</f>
        <v>PASS</v>
      </c>
    </row>
    <row r="39" customFormat="false" ht="15" hidden="false" customHeight="false" outlineLevel="0" collapsed="false">
      <c r="B39" s="28" t="n">
        <v>30</v>
      </c>
      <c r="C39" s="9" t="s">
        <v>435</v>
      </c>
      <c r="D39" s="9" t="s">
        <v>465</v>
      </c>
      <c r="E39" s="18" t="n">
        <v>14</v>
      </c>
      <c r="F39" s="46" t="n">
        <f aca="false">Assumptions!$D$51</f>
        <v>14</v>
      </c>
      <c r="G39" s="44" t="n">
        <f aca="false">IFERROR(IF(ISNUMBER(F39),F39-E39,"n/a"),"n/a")</f>
        <v>0</v>
      </c>
      <c r="H39" s="54" t="n">
        <v>0.005000001</v>
      </c>
      <c r="I39" s="52" t="str">
        <f aca="false">IFERROR(IF(ISNUMBER(F39),IF(ABS(F39-E39)&lt;=H39,"PASS","FAIL"),"FAIL"),"FAIL")</f>
        <v>PASS</v>
      </c>
    </row>
    <row r="40" customFormat="false" ht="15" hidden="false" customHeight="false" outlineLevel="0" collapsed="false">
      <c r="B40" s="28" t="n">
        <v>31</v>
      </c>
      <c r="C40" s="9" t="s">
        <v>435</v>
      </c>
      <c r="D40" s="9" t="s">
        <v>466</v>
      </c>
      <c r="E40" s="18" t="n">
        <v>9</v>
      </c>
      <c r="F40" s="46" t="n">
        <f aca="false">Assumptions!$E$50</f>
        <v>9</v>
      </c>
      <c r="G40" s="44" t="n">
        <f aca="false">IFERROR(IF(ISNUMBER(F40),F40-E40,"n/a"),"n/a")</f>
        <v>0</v>
      </c>
      <c r="H40" s="54" t="n">
        <v>0.005000001</v>
      </c>
      <c r="I40" s="52" t="str">
        <f aca="false">IFERROR(IF(ISNUMBER(F40),IF(ABS(F40-E40)&lt;=H40,"PASS","FAIL"),"FAIL"),"FAIL")</f>
        <v>PASS</v>
      </c>
    </row>
    <row r="41" customFormat="false" ht="15" hidden="false" customHeight="false" outlineLevel="0" collapsed="false">
      <c r="B41" s="28" t="n">
        <v>32</v>
      </c>
      <c r="C41" s="9" t="s">
        <v>435</v>
      </c>
      <c r="D41" s="9" t="s">
        <v>467</v>
      </c>
      <c r="E41" s="18" t="n">
        <v>1.35</v>
      </c>
      <c r="F41" s="46" t="n">
        <f aca="false">Assumptions!$E$54</f>
        <v>1.35</v>
      </c>
      <c r="G41" s="44" t="n">
        <f aca="false">IFERROR(IF(ISNUMBER(F41),F41-E41,"n/a"),"n/a")</f>
        <v>0</v>
      </c>
      <c r="H41" s="54" t="n">
        <v>0.005000001</v>
      </c>
      <c r="I41" s="52" t="str">
        <f aca="false">IFERROR(IF(ISNUMBER(F41),IF(ABS(F41-E41)&lt;=H41,"PASS","FAIL"),"FAIL"),"FAIL")</f>
        <v>PASS</v>
      </c>
    </row>
    <row r="42" customFormat="false" ht="15" hidden="false" customHeight="false" outlineLevel="0" collapsed="false">
      <c r="B42" s="28" t="n">
        <v>33</v>
      </c>
      <c r="C42" s="9" t="s">
        <v>435</v>
      </c>
      <c r="D42" s="9" t="s">
        <v>468</v>
      </c>
      <c r="E42" s="10" t="n">
        <v>0.068</v>
      </c>
      <c r="F42" s="53" t="n">
        <f aca="false">Assumptions!$E$55</f>
        <v>0.068</v>
      </c>
      <c r="G42" s="44" t="n">
        <f aca="false">IFERROR(IF(ISNUMBER(F42),F42-E42,"n/a"),"n/a")</f>
        <v>0</v>
      </c>
      <c r="H42" s="54" t="n">
        <v>5.0001E-005</v>
      </c>
      <c r="I42" s="52" t="str">
        <f aca="false">IFERROR(IF(ISNUMBER(F42),IF(ABS(F42-E42)&lt;=H42,"PASS","FAIL"),"FAIL"),"FAIL")</f>
        <v>PASS</v>
      </c>
    </row>
    <row r="43" customFormat="false" ht="15" hidden="false" customHeight="false" outlineLevel="0" collapsed="false">
      <c r="B43" s="28" t="n">
        <v>34</v>
      </c>
      <c r="C43" s="9" t="s">
        <v>435</v>
      </c>
      <c r="D43" s="9" t="s">
        <v>469</v>
      </c>
      <c r="E43" s="10" t="n">
        <v>0.0175</v>
      </c>
      <c r="F43" s="53" t="n">
        <f aca="false">Assumptions!$E$56</f>
        <v>0.0175</v>
      </c>
      <c r="G43" s="44" t="n">
        <f aca="false">IFERROR(IF(ISNUMBER(F43),F43-E43,"n/a"),"n/a")</f>
        <v>0</v>
      </c>
      <c r="H43" s="54" t="n">
        <v>5.0001E-005</v>
      </c>
      <c r="I43" s="52" t="str">
        <f aca="false">IFERROR(IF(ISNUMBER(F43),IF(ABS(F43-E43)&lt;=H43,"PASS","FAIL"),"FAIL"),"FAIL")</f>
        <v>PASS</v>
      </c>
    </row>
    <row r="44" customFormat="false" ht="15" hidden="false" customHeight="false" outlineLevel="0" collapsed="false">
      <c r="B44" s="28" t="n">
        <v>35</v>
      </c>
      <c r="C44" s="9" t="s">
        <v>435</v>
      </c>
      <c r="D44" s="9" t="s">
        <v>470</v>
      </c>
      <c r="E44" s="10" t="n">
        <v>0.011</v>
      </c>
      <c r="F44" s="53" t="n">
        <f aca="false">Assumptions!$E$57</f>
        <v>0.011</v>
      </c>
      <c r="G44" s="44" t="n">
        <f aca="false">IFERROR(IF(ISNUMBER(F44),F44-E44,"n/a"),"n/a")</f>
        <v>0</v>
      </c>
      <c r="H44" s="54" t="n">
        <v>5.0001E-005</v>
      </c>
      <c r="I44" s="52" t="str">
        <f aca="false">IFERROR(IF(ISNUMBER(F44),IF(ABS(F44-E44)&lt;=H44,"PASS","FAIL"),"FAIL"),"FAIL")</f>
        <v>PASS</v>
      </c>
    </row>
    <row r="45" customFormat="false" ht="15" hidden="false" customHeight="false" outlineLevel="0" collapsed="false">
      <c r="B45" s="28" t="n">
        <v>36</v>
      </c>
      <c r="C45" s="9" t="s">
        <v>435</v>
      </c>
      <c r="D45" s="9" t="s">
        <v>471</v>
      </c>
      <c r="E45" s="21" t="n">
        <v>0.2</v>
      </c>
      <c r="F45" s="57" t="n">
        <f aca="false">Assumptions!$E$58</f>
        <v>0.2</v>
      </c>
      <c r="G45" s="44" t="n">
        <f aca="false">IFERROR(IF(ISNUMBER(F45),F45-E45,"n/a"),"n/a")</f>
        <v>0</v>
      </c>
      <c r="H45" s="54" t="n">
        <v>0.000500001</v>
      </c>
      <c r="I45" s="52" t="str">
        <f aca="false">IFERROR(IF(ISNUMBER(F45),IF(ABS(F45-E45)&lt;=H45,"PASS","FAIL"),"FAIL"),"FAIL")</f>
        <v>PASS</v>
      </c>
    </row>
    <row r="46" customFormat="false" ht="15" hidden="false" customHeight="false" outlineLevel="0" collapsed="false">
      <c r="B46" s="28" t="n">
        <v>37</v>
      </c>
      <c r="C46" s="9" t="s">
        <v>435</v>
      </c>
      <c r="D46" s="9" t="s">
        <v>472</v>
      </c>
      <c r="E46" s="10" t="n">
        <v>0.035</v>
      </c>
      <c r="F46" s="53" t="n">
        <f aca="false">Assumptions!$E$59</f>
        <v>0.035</v>
      </c>
      <c r="G46" s="44" t="n">
        <f aca="false">IFERROR(IF(ISNUMBER(F46),F46-E46,"n/a"),"n/a")</f>
        <v>0</v>
      </c>
      <c r="H46" s="54" t="n">
        <v>5.0001E-005</v>
      </c>
      <c r="I46" s="52" t="str">
        <f aca="false">IFERROR(IF(ISNUMBER(F46),IF(ABS(F46-E46)&lt;=H46,"PASS","FAIL"),"FAIL"),"FAIL")</f>
        <v>PASS</v>
      </c>
    </row>
    <row r="47" customFormat="false" ht="15" hidden="false" customHeight="false" outlineLevel="0" collapsed="false">
      <c r="B47" s="28" t="n">
        <v>38</v>
      </c>
      <c r="C47" s="9" t="s">
        <v>435</v>
      </c>
      <c r="D47" s="9" t="s">
        <v>473</v>
      </c>
      <c r="E47" s="18" t="n">
        <v>0.33</v>
      </c>
      <c r="F47" s="46" t="n">
        <f aca="false">Assumptions!$E$52</f>
        <v>0.33</v>
      </c>
      <c r="G47" s="44" t="n">
        <f aca="false">IFERROR(IF(ISNUMBER(F47),F47-E47,"n/a"),"n/a")</f>
        <v>0</v>
      </c>
      <c r="H47" s="54" t="n">
        <v>0.005000001</v>
      </c>
      <c r="I47" s="52" t="str">
        <f aca="false">IFERROR(IF(ISNUMBER(F47),IF(ABS(F47-E47)&lt;=H47,"PASS","FAIL"),"FAIL"),"FAIL")</f>
        <v>PASS</v>
      </c>
    </row>
    <row r="48" customFormat="false" ht="15" hidden="false" customHeight="false" outlineLevel="0" collapsed="false">
      <c r="B48" s="28" t="n">
        <v>39</v>
      </c>
      <c r="C48" s="9" t="s">
        <v>435</v>
      </c>
      <c r="D48" s="9" t="s">
        <v>474</v>
      </c>
      <c r="E48" s="18" t="n">
        <v>11.25</v>
      </c>
      <c r="F48" s="46" t="n">
        <f aca="false">Assumptions!$E$51</f>
        <v>11.25</v>
      </c>
      <c r="G48" s="44" t="n">
        <f aca="false">IFERROR(IF(ISNUMBER(F48),F48-E48,"n/a"),"n/a")</f>
        <v>0</v>
      </c>
      <c r="H48" s="54" t="n">
        <v>0.005000001</v>
      </c>
      <c r="I48" s="52" t="str">
        <f aca="false">IFERROR(IF(ISNUMBER(F48),IF(ABS(F48-E48)&lt;=H48,"PASS","FAIL"),"FAIL"),"FAIL")</f>
        <v>PASS</v>
      </c>
    </row>
    <row r="49" customFormat="false" ht="15" hidden="false" customHeight="false" outlineLevel="0" collapsed="false">
      <c r="B49" s="28" t="n">
        <v>40</v>
      </c>
      <c r="C49" s="9" t="s">
        <v>475</v>
      </c>
      <c r="D49" s="9" t="s">
        <v>476</v>
      </c>
      <c r="E49" s="10" t="n">
        <v>0.048</v>
      </c>
      <c r="F49" s="53" t="n">
        <f aca="false">Allocation!$G$6</f>
        <v>0.048</v>
      </c>
      <c r="G49" s="44" t="n">
        <f aca="false">IFERROR(IF(ISNUMBER(F49),F49-E49,"n/a"),"n/a")</f>
        <v>0</v>
      </c>
      <c r="H49" s="54" t="n">
        <v>5.0001E-005</v>
      </c>
      <c r="I49" s="52" t="str">
        <f aca="false">IFERROR(IF(ISNUMBER(F49),IF(ABS(F49-E49)&lt;=H49,"PASS","FAIL"),"FAIL"),"FAIL")</f>
        <v>PASS</v>
      </c>
    </row>
    <row r="50" customFormat="false" ht="15" hidden="false" customHeight="false" outlineLevel="0" collapsed="false">
      <c r="B50" s="28" t="n">
        <v>41</v>
      </c>
      <c r="C50" s="9" t="s">
        <v>475</v>
      </c>
      <c r="D50" s="9" t="s">
        <v>477</v>
      </c>
      <c r="E50" s="10" t="n">
        <v>0.0477</v>
      </c>
      <c r="F50" s="53" t="n">
        <f aca="false">Allocation!$H$6</f>
        <v>0.0477</v>
      </c>
      <c r="G50" s="44" t="n">
        <f aca="false">IFERROR(IF(ISNUMBER(F50),F50-E50,"n/a"),"n/a")</f>
        <v>0</v>
      </c>
      <c r="H50" s="54" t="n">
        <v>5.0001E-005</v>
      </c>
      <c r="I50" s="52" t="str">
        <f aca="false">IFERROR(IF(ISNUMBER(F50),IF(ABS(F50-E50)&lt;=H50,"PASS","FAIL"),"FAIL"),"FAIL")</f>
        <v>PASS</v>
      </c>
    </row>
    <row r="51" customFormat="false" ht="15" hidden="false" customHeight="false" outlineLevel="0" collapsed="false">
      <c r="B51" s="28" t="n">
        <v>42</v>
      </c>
      <c r="C51" s="9" t="s">
        <v>475</v>
      </c>
      <c r="D51" s="9" t="s">
        <v>478</v>
      </c>
      <c r="E51" s="55" t="n">
        <v>25000</v>
      </c>
      <c r="F51" s="43" t="n">
        <f aca="false">Allocation!$E$6</f>
        <v>25000</v>
      </c>
      <c r="G51" s="44" t="n">
        <f aca="false">IFERROR(IF(ISNUMBER(F51),F51-E51,"n/a"),"n/a")</f>
        <v>0</v>
      </c>
      <c r="H51" s="54" t="n">
        <v>0.500000001</v>
      </c>
      <c r="I51" s="52" t="str">
        <f aca="false">IFERROR(IF(ISNUMBER(F51),IF(ABS(F51-E51)&lt;=H51,"PASS","FAIL"),"FAIL"),"FAIL")</f>
        <v>PASS</v>
      </c>
    </row>
    <row r="52" customFormat="false" ht="15" hidden="false" customHeight="false" outlineLevel="0" collapsed="false">
      <c r="B52" s="28" t="n">
        <v>43</v>
      </c>
      <c r="C52" s="9" t="s">
        <v>475</v>
      </c>
      <c r="D52" s="9" t="s">
        <v>479</v>
      </c>
      <c r="E52" s="10" t="n">
        <v>0.0495</v>
      </c>
      <c r="F52" s="53" t="n">
        <f aca="false">Allocation!$G$7</f>
        <v>0.0495</v>
      </c>
      <c r="G52" s="44" t="n">
        <f aca="false">IFERROR(IF(ISNUMBER(F52),F52-E52,"n/a"),"n/a")</f>
        <v>0</v>
      </c>
      <c r="H52" s="54" t="n">
        <v>5.0001E-005</v>
      </c>
      <c r="I52" s="52" t="str">
        <f aca="false">IFERROR(IF(ISNUMBER(F52),IF(ABS(F52-E52)&lt;=H52,"PASS","FAIL"),"FAIL"),"FAIL")</f>
        <v>PASS</v>
      </c>
    </row>
    <row r="53" customFormat="false" ht="15" hidden="false" customHeight="false" outlineLevel="0" collapsed="false">
      <c r="B53" s="28" t="n">
        <v>44</v>
      </c>
      <c r="C53" s="9" t="s">
        <v>475</v>
      </c>
      <c r="D53" s="9" t="s">
        <v>480</v>
      </c>
      <c r="E53" s="10" t="n">
        <v>0.0492</v>
      </c>
      <c r="F53" s="53" t="n">
        <f aca="false">Allocation!$H$7</f>
        <v>0.0492</v>
      </c>
      <c r="G53" s="44" t="n">
        <f aca="false">IFERROR(IF(ISNUMBER(F53),F53-E53,"n/a"),"n/a")</f>
        <v>0</v>
      </c>
      <c r="H53" s="54" t="n">
        <v>5.0001E-005</v>
      </c>
      <c r="I53" s="52" t="str">
        <f aca="false">IFERROR(IF(ISNUMBER(F53),IF(ABS(F53-E53)&lt;=H53,"PASS","FAIL"),"FAIL"),"FAIL")</f>
        <v>PASS</v>
      </c>
    </row>
    <row r="54" customFormat="false" ht="15" hidden="false" customHeight="false" outlineLevel="0" collapsed="false">
      <c r="B54" s="28" t="n">
        <v>45</v>
      </c>
      <c r="C54" s="9" t="s">
        <v>475</v>
      </c>
      <c r="D54" s="9" t="s">
        <v>481</v>
      </c>
      <c r="E54" s="55" t="n">
        <v>25000</v>
      </c>
      <c r="F54" s="43" t="n">
        <f aca="false">Allocation!$E$7</f>
        <v>25000</v>
      </c>
      <c r="G54" s="44" t="n">
        <f aca="false">IFERROR(IF(ISNUMBER(F54),F54-E54,"n/a"),"n/a")</f>
        <v>0</v>
      </c>
      <c r="H54" s="54" t="n">
        <v>0.500000001</v>
      </c>
      <c r="I54" s="52" t="str">
        <f aca="false">IFERROR(IF(ISNUMBER(F54),IF(ABS(F54-E54)&lt;=H54,"PASS","FAIL"),"FAIL"),"FAIL")</f>
        <v>PASS</v>
      </c>
    </row>
    <row r="55" customFormat="false" ht="15" hidden="false" customHeight="false" outlineLevel="0" collapsed="false">
      <c r="B55" s="28" t="n">
        <v>46</v>
      </c>
      <c r="C55" s="9" t="s">
        <v>475</v>
      </c>
      <c r="D55" s="9" t="s">
        <v>482</v>
      </c>
      <c r="E55" s="10" t="n">
        <v>0.0515</v>
      </c>
      <c r="F55" s="53" t="n">
        <f aca="false">Allocation!$G$8</f>
        <v>0.0515</v>
      </c>
      <c r="G55" s="44" t="n">
        <f aca="false">IFERROR(IF(ISNUMBER(F55),F55-E55,"n/a"),"n/a")</f>
        <v>0</v>
      </c>
      <c r="H55" s="54" t="n">
        <v>5.0001E-005</v>
      </c>
      <c r="I55" s="52" t="str">
        <f aca="false">IFERROR(IF(ISNUMBER(F55),IF(ABS(F55-E55)&lt;=H55,"PASS","FAIL"),"FAIL"),"FAIL")</f>
        <v>PASS</v>
      </c>
    </row>
    <row r="56" customFormat="false" ht="15" hidden="false" customHeight="false" outlineLevel="0" collapsed="false">
      <c r="B56" s="28" t="n">
        <v>47</v>
      </c>
      <c r="C56" s="9" t="s">
        <v>475</v>
      </c>
      <c r="D56" s="9" t="s">
        <v>483</v>
      </c>
      <c r="E56" s="10" t="n">
        <v>0.0503</v>
      </c>
      <c r="F56" s="53" t="n">
        <f aca="false">Allocation!$H$8</f>
        <v>0.0503</v>
      </c>
      <c r="G56" s="44" t="n">
        <f aca="false">IFERROR(IF(ISNUMBER(F56),F56-E56,"n/a"),"n/a")</f>
        <v>0</v>
      </c>
      <c r="H56" s="54" t="n">
        <v>5.0001E-005</v>
      </c>
      <c r="I56" s="52" t="str">
        <f aca="false">IFERROR(IF(ISNUMBER(F56),IF(ABS(F56-E56)&lt;=H56,"PASS","FAIL"),"FAIL"),"FAIL")</f>
        <v>PASS</v>
      </c>
    </row>
    <row r="57" customFormat="false" ht="15" hidden="false" customHeight="false" outlineLevel="0" collapsed="false">
      <c r="B57" s="28" t="n">
        <v>48</v>
      </c>
      <c r="C57" s="9" t="s">
        <v>475</v>
      </c>
      <c r="D57" s="9" t="s">
        <v>484</v>
      </c>
      <c r="E57" s="55" t="n">
        <v>25000</v>
      </c>
      <c r="F57" s="43" t="n">
        <f aca="false">Allocation!$E$8</f>
        <v>25000</v>
      </c>
      <c r="G57" s="44" t="n">
        <f aca="false">IFERROR(IF(ISNUMBER(F57),F57-E57,"n/a"),"n/a")</f>
        <v>0</v>
      </c>
      <c r="H57" s="54" t="n">
        <v>0.500000001</v>
      </c>
      <c r="I57" s="52" t="str">
        <f aca="false">IFERROR(IF(ISNUMBER(F57),IF(ABS(F57-E57)&lt;=H57,"PASS","FAIL"),"FAIL"),"FAIL")</f>
        <v>PASS</v>
      </c>
    </row>
    <row r="58" customFormat="false" ht="15" hidden="false" customHeight="false" outlineLevel="0" collapsed="false">
      <c r="B58" s="28" t="n">
        <v>49</v>
      </c>
      <c r="C58" s="9" t="s">
        <v>475</v>
      </c>
      <c r="D58" s="9" t="s">
        <v>485</v>
      </c>
      <c r="E58" s="10" t="n">
        <v>0.053</v>
      </c>
      <c r="F58" s="53" t="n">
        <f aca="false">Allocation!$G$9</f>
        <v>0.053</v>
      </c>
      <c r="G58" s="44" t="n">
        <f aca="false">IFERROR(IF(ISNUMBER(F58),F58-E58,"n/a"),"n/a")</f>
        <v>0</v>
      </c>
      <c r="H58" s="54" t="n">
        <v>5.0001E-005</v>
      </c>
      <c r="I58" s="52" t="str">
        <f aca="false">IFERROR(IF(ISNUMBER(F58),IF(ABS(F58-E58)&lt;=H58,"PASS","FAIL"),"FAIL"),"FAIL")</f>
        <v>PASS</v>
      </c>
    </row>
    <row r="59" customFormat="false" ht="15" hidden="false" customHeight="false" outlineLevel="0" collapsed="false">
      <c r="B59" s="28" t="n">
        <v>50</v>
      </c>
      <c r="C59" s="9" t="s">
        <v>475</v>
      </c>
      <c r="D59" s="9" t="s">
        <v>486</v>
      </c>
      <c r="E59" s="10" t="n">
        <v>0.0518</v>
      </c>
      <c r="F59" s="53" t="n">
        <f aca="false">Allocation!$H$9</f>
        <v>0.0518</v>
      </c>
      <c r="G59" s="44" t="n">
        <f aca="false">IFERROR(IF(ISNUMBER(F59),F59-E59,"n/a"),"n/a")</f>
        <v>0</v>
      </c>
      <c r="H59" s="54" t="n">
        <v>5.0001E-005</v>
      </c>
      <c r="I59" s="52" t="str">
        <f aca="false">IFERROR(IF(ISNUMBER(F59),IF(ABS(F59-E59)&lt;=H59,"PASS","FAIL"),"FAIL"),"FAIL")</f>
        <v>PASS</v>
      </c>
    </row>
    <row r="60" customFormat="false" ht="15" hidden="false" customHeight="false" outlineLevel="0" collapsed="false">
      <c r="B60" s="28" t="n">
        <v>51</v>
      </c>
      <c r="C60" s="9" t="s">
        <v>475</v>
      </c>
      <c r="D60" s="9" t="s">
        <v>487</v>
      </c>
      <c r="E60" s="55" t="n">
        <v>25000</v>
      </c>
      <c r="F60" s="43" t="n">
        <f aca="false">Allocation!$E$9</f>
        <v>25000</v>
      </c>
      <c r="G60" s="44" t="n">
        <f aca="false">IFERROR(IF(ISNUMBER(F60),F60-E60,"n/a"),"n/a")</f>
        <v>0</v>
      </c>
      <c r="H60" s="54" t="n">
        <v>0.500000001</v>
      </c>
      <c r="I60" s="52" t="str">
        <f aca="false">IFERROR(IF(ISNUMBER(F60),IF(ABS(F60-E60)&lt;=H60,"PASS","FAIL"),"FAIL"),"FAIL")</f>
        <v>PASS</v>
      </c>
    </row>
    <row r="61" customFormat="false" ht="15" hidden="false" customHeight="false" outlineLevel="0" collapsed="false">
      <c r="B61" s="28" t="n">
        <v>52</v>
      </c>
      <c r="C61" s="9" t="s">
        <v>475</v>
      </c>
      <c r="D61" s="9" t="s">
        <v>488</v>
      </c>
      <c r="E61" s="10" t="n">
        <v>0.0545</v>
      </c>
      <c r="F61" s="53" t="n">
        <f aca="false">Allocation!$G$10</f>
        <v>0.0545</v>
      </c>
      <c r="G61" s="44" t="n">
        <f aca="false">IFERROR(IF(ISNUMBER(F61),F61-E61,"n/a"),"n/a")</f>
        <v>0</v>
      </c>
      <c r="H61" s="54" t="n">
        <v>5.0001E-005</v>
      </c>
      <c r="I61" s="52" t="str">
        <f aca="false">IFERROR(IF(ISNUMBER(F61),IF(ABS(F61-E61)&lt;=H61,"PASS","FAIL"),"FAIL"),"FAIL")</f>
        <v>PASS</v>
      </c>
    </row>
    <row r="62" customFormat="false" ht="15" hidden="false" customHeight="false" outlineLevel="0" collapsed="false">
      <c r="B62" s="28" t="n">
        <v>53</v>
      </c>
      <c r="C62" s="9" t="s">
        <v>475</v>
      </c>
      <c r="D62" s="9" t="s">
        <v>489</v>
      </c>
      <c r="E62" s="10" t="n">
        <v>0.0533</v>
      </c>
      <c r="F62" s="53" t="n">
        <f aca="false">Allocation!$H$10</f>
        <v>0.0533</v>
      </c>
      <c r="G62" s="44" t="n">
        <f aca="false">IFERROR(IF(ISNUMBER(F62),F62-E62,"n/a"),"n/a")</f>
        <v>0</v>
      </c>
      <c r="H62" s="54" t="n">
        <v>5.0001E-005</v>
      </c>
      <c r="I62" s="52" t="str">
        <f aca="false">IFERROR(IF(ISNUMBER(F62),IF(ABS(F62-E62)&lt;=H62,"PASS","FAIL"),"FAIL"),"FAIL")</f>
        <v>PASS</v>
      </c>
    </row>
    <row r="63" customFormat="false" ht="15" hidden="false" customHeight="false" outlineLevel="0" collapsed="false">
      <c r="B63" s="28" t="n">
        <v>54</v>
      </c>
      <c r="C63" s="9" t="s">
        <v>475</v>
      </c>
      <c r="D63" s="9" t="s">
        <v>490</v>
      </c>
      <c r="E63" s="55" t="n">
        <v>25000</v>
      </c>
      <c r="F63" s="43" t="n">
        <f aca="false">Allocation!$E$10</f>
        <v>25000</v>
      </c>
      <c r="G63" s="44" t="n">
        <f aca="false">IFERROR(IF(ISNUMBER(F63),F63-E63,"n/a"),"n/a")</f>
        <v>0</v>
      </c>
      <c r="H63" s="54" t="n">
        <v>0.500000001</v>
      </c>
      <c r="I63" s="52" t="str">
        <f aca="false">IFERROR(IF(ISNUMBER(F63),IF(ABS(F63-E63)&lt;=H63,"PASS","FAIL"),"FAIL"),"FAIL")</f>
        <v>PASS</v>
      </c>
    </row>
    <row r="64" customFormat="false" ht="15" hidden="false" customHeight="false" outlineLevel="0" collapsed="false">
      <c r="B64" s="28" t="n">
        <v>55</v>
      </c>
      <c r="C64" s="9" t="s">
        <v>475</v>
      </c>
      <c r="D64" s="9" t="s">
        <v>491</v>
      </c>
      <c r="E64" s="10" t="n">
        <v>0.0699</v>
      </c>
      <c r="F64" s="53" t="n">
        <f aca="false">Allocation!$G$11</f>
        <v>0.0699042470751673</v>
      </c>
      <c r="G64" s="44" t="n">
        <f aca="false">IFERROR(IF(ISNUMBER(F64),F64-E64,"n/a"),"n/a")</f>
        <v>4.2470751672602E-006</v>
      </c>
      <c r="H64" s="54" t="n">
        <v>5.0001E-005</v>
      </c>
      <c r="I64" s="52" t="str">
        <f aca="false">IFERROR(IF(ISNUMBER(F64),IF(ABS(F64-E64)&lt;=H64,"PASS","FAIL"),"FAIL"),"FAIL")</f>
        <v>PASS</v>
      </c>
    </row>
    <row r="65" customFormat="false" ht="15" hidden="false" customHeight="false" outlineLevel="0" collapsed="false">
      <c r="B65" s="28" t="n">
        <v>56</v>
      </c>
      <c r="C65" s="9" t="s">
        <v>475</v>
      </c>
      <c r="D65" s="9" t="s">
        <v>492</v>
      </c>
      <c r="E65" s="10" t="n">
        <v>0.0639</v>
      </c>
      <c r="F65" s="53" t="n">
        <f aca="false">Allocation!$H$11</f>
        <v>0.0639042470751673</v>
      </c>
      <c r="G65" s="44" t="n">
        <f aca="false">IFERROR(IF(ISNUMBER(F65),F65-E65,"n/a"),"n/a")</f>
        <v>4.2470751672602E-006</v>
      </c>
      <c r="H65" s="54" t="n">
        <v>5.0001E-005</v>
      </c>
      <c r="I65" s="52" t="str">
        <f aca="false">IFERROR(IF(ISNUMBER(F65),IF(ABS(F65-E65)&lt;=H65,"PASS","FAIL"),"FAIL"),"FAIL")</f>
        <v>PASS</v>
      </c>
    </row>
    <row r="66" customFormat="false" ht="15" hidden="false" customHeight="false" outlineLevel="0" collapsed="false">
      <c r="B66" s="28" t="n">
        <v>57</v>
      </c>
      <c r="C66" s="9" t="s">
        <v>475</v>
      </c>
      <c r="D66" s="9" t="s">
        <v>493</v>
      </c>
      <c r="E66" s="55" t="n">
        <v>12375</v>
      </c>
      <c r="F66" s="43" t="n">
        <f aca="false">Allocation!$E$11</f>
        <v>12375</v>
      </c>
      <c r="G66" s="44" t="n">
        <f aca="false">IFERROR(IF(ISNUMBER(F66),F66-E66,"n/a"),"n/a")</f>
        <v>0</v>
      </c>
      <c r="H66" s="54" t="n">
        <v>0.500000001</v>
      </c>
      <c r="I66" s="52" t="str">
        <f aca="false">IFERROR(IF(ISNUMBER(F66),IF(ABS(F66-E66)&lt;=H66,"PASS","FAIL"),"FAIL"),"FAIL")</f>
        <v>PASS</v>
      </c>
    </row>
    <row r="67" customFormat="false" ht="15" hidden="false" customHeight="false" outlineLevel="0" collapsed="false">
      <c r="B67" s="28" t="n">
        <v>58</v>
      </c>
      <c r="C67" s="9" t="s">
        <v>475</v>
      </c>
      <c r="D67" s="9" t="s">
        <v>494</v>
      </c>
      <c r="E67" s="10" t="n">
        <v>0.0736</v>
      </c>
      <c r="F67" s="53" t="n">
        <f aca="false">Allocation!$G$12</f>
        <v>0.0736404123832243</v>
      </c>
      <c r="G67" s="44" t="n">
        <f aca="false">IFERROR(IF(ISNUMBER(F67),F67-E67,"n/a"),"n/a")</f>
        <v>4.04123832242614E-005</v>
      </c>
      <c r="H67" s="54" t="n">
        <v>5.0001E-005</v>
      </c>
      <c r="I67" s="52" t="str">
        <f aca="false">IFERROR(IF(ISNUMBER(F67),IF(ABS(F67-E67)&lt;=H67,"PASS","FAIL"),"FAIL"),"FAIL")</f>
        <v>PASS</v>
      </c>
    </row>
    <row r="68" customFormat="false" ht="15" hidden="false" customHeight="false" outlineLevel="0" collapsed="false">
      <c r="B68" s="28" t="n">
        <v>59</v>
      </c>
      <c r="C68" s="9" t="s">
        <v>475</v>
      </c>
      <c r="D68" s="9" t="s">
        <v>495</v>
      </c>
      <c r="E68" s="10" t="n">
        <v>0.0676</v>
      </c>
      <c r="F68" s="53" t="n">
        <f aca="false">Allocation!$H$12</f>
        <v>0.0676404123832243</v>
      </c>
      <c r="G68" s="44" t="n">
        <f aca="false">IFERROR(IF(ISNUMBER(F68),F68-E68,"n/a"),"n/a")</f>
        <v>4.04123832242614E-005</v>
      </c>
      <c r="H68" s="54" t="n">
        <v>5.0001E-005</v>
      </c>
      <c r="I68" s="52" t="str">
        <f aca="false">IFERROR(IF(ISNUMBER(F68),IF(ABS(F68-E68)&lt;=H68,"PASS","FAIL"),"FAIL"),"FAIL")</f>
        <v>PASS</v>
      </c>
    </row>
    <row r="69" customFormat="false" ht="15" hidden="false" customHeight="false" outlineLevel="0" collapsed="false">
      <c r="B69" s="28" t="n">
        <v>60</v>
      </c>
      <c r="C69" s="9" t="s">
        <v>475</v>
      </c>
      <c r="D69" s="9" t="s">
        <v>496</v>
      </c>
      <c r="E69" s="55" t="n">
        <v>12313</v>
      </c>
      <c r="F69" s="43" t="n">
        <f aca="false">Allocation!$E$12</f>
        <v>12312.5</v>
      </c>
      <c r="G69" s="44" t="n">
        <f aca="false">IFERROR(IF(ISNUMBER(F69),F69-E69,"n/a"),"n/a")</f>
        <v>-0.5</v>
      </c>
      <c r="H69" s="54" t="n">
        <v>0.500000001</v>
      </c>
      <c r="I69" s="52" t="str">
        <f aca="false">IFERROR(IF(ISNUMBER(F69),IF(ABS(F69-E69)&lt;=H69,"PASS","FAIL"),"FAIL"),"FAIL")</f>
        <v>PASS</v>
      </c>
    </row>
    <row r="70" customFormat="false" ht="15" hidden="false" customHeight="false" outlineLevel="0" collapsed="false">
      <c r="B70" s="28" t="n">
        <v>61</v>
      </c>
      <c r="C70" s="9" t="s">
        <v>475</v>
      </c>
      <c r="D70" s="9" t="s">
        <v>497</v>
      </c>
      <c r="E70" s="10" t="n">
        <v>0.0774</v>
      </c>
      <c r="F70" s="53" t="n">
        <f aca="false">Allocation!$G$13</f>
        <v>0.0773997713205988</v>
      </c>
      <c r="G70" s="44" t="n">
        <f aca="false">IFERROR(IF(ISNUMBER(F70),F70-E70,"n/a"),"n/a")</f>
        <v>-2.28679401206855E-007</v>
      </c>
      <c r="H70" s="54" t="n">
        <v>5.0001E-005</v>
      </c>
      <c r="I70" s="52" t="str">
        <f aca="false">IFERROR(IF(ISNUMBER(F70),IF(ABS(F70-E70)&lt;=H70,"PASS","FAIL"),"FAIL"),"FAIL")</f>
        <v>PASS</v>
      </c>
    </row>
    <row r="71" customFormat="false" ht="15" hidden="false" customHeight="false" outlineLevel="0" collapsed="false">
      <c r="B71" s="28" t="n">
        <v>62</v>
      </c>
      <c r="C71" s="9" t="s">
        <v>475</v>
      </c>
      <c r="D71" s="9" t="s">
        <v>498</v>
      </c>
      <c r="E71" s="10" t="n">
        <v>0.0594</v>
      </c>
      <c r="F71" s="53" t="n">
        <f aca="false">Allocation!$H$13</f>
        <v>0.0593997713205988</v>
      </c>
      <c r="G71" s="44" t="n">
        <f aca="false">IFERROR(IF(ISNUMBER(F71),F71-E71,"n/a"),"n/a")</f>
        <v>-2.28679401213794E-007</v>
      </c>
      <c r="H71" s="54" t="n">
        <v>5.0001E-005</v>
      </c>
      <c r="I71" s="52" t="str">
        <f aca="false">IFERROR(IF(ISNUMBER(F71),IF(ABS(F71-E71)&lt;=H71,"PASS","FAIL"),"FAIL"),"FAIL")</f>
        <v>PASS</v>
      </c>
    </row>
    <row r="72" customFormat="false" ht="15" hidden="false" customHeight="false" outlineLevel="0" collapsed="false">
      <c r="B72" s="28" t="n">
        <v>63</v>
      </c>
      <c r="C72" s="9" t="s">
        <v>475</v>
      </c>
      <c r="D72" s="9" t="s">
        <v>499</v>
      </c>
      <c r="E72" s="55" t="n">
        <v>12250</v>
      </c>
      <c r="F72" s="43" t="n">
        <f aca="false">Allocation!$E$13</f>
        <v>12250</v>
      </c>
      <c r="G72" s="44" t="n">
        <f aca="false">IFERROR(IF(ISNUMBER(F72),F72-E72,"n/a"),"n/a")</f>
        <v>0</v>
      </c>
      <c r="H72" s="54" t="n">
        <v>0.500000001</v>
      </c>
      <c r="I72" s="52" t="str">
        <f aca="false">IFERROR(IF(ISNUMBER(F72),IF(ABS(F72-E72)&lt;=H72,"PASS","FAIL"),"FAIL"),"FAIL")</f>
        <v>PASS</v>
      </c>
    </row>
    <row r="73" customFormat="false" ht="15" hidden="false" customHeight="false" outlineLevel="0" collapsed="false">
      <c r="B73" s="28" t="n">
        <v>64</v>
      </c>
      <c r="C73" s="9" t="s">
        <v>475</v>
      </c>
      <c r="D73" s="9" t="s">
        <v>500</v>
      </c>
      <c r="E73" s="10" t="n">
        <v>0.0812</v>
      </c>
      <c r="F73" s="53" t="n">
        <f aca="false">Allocation!$G$14</f>
        <v>0.0811827080590467</v>
      </c>
      <c r="G73" s="44" t="n">
        <f aca="false">IFERROR(IF(ISNUMBER(F73),F73-E73,"n/a"),"n/a")</f>
        <v>-1.72919409533456E-005</v>
      </c>
      <c r="H73" s="54" t="n">
        <v>5.0001E-005</v>
      </c>
      <c r="I73" s="52" t="str">
        <f aca="false">IFERROR(IF(ISNUMBER(F73),IF(ABS(F73-E73)&lt;=H73,"PASS","FAIL"),"FAIL"),"FAIL")</f>
        <v>PASS</v>
      </c>
    </row>
    <row r="74" customFormat="false" ht="15" hidden="false" customHeight="false" outlineLevel="0" collapsed="false">
      <c r="B74" s="28" t="n">
        <v>65</v>
      </c>
      <c r="C74" s="9" t="s">
        <v>475</v>
      </c>
      <c r="D74" s="9" t="s">
        <v>501</v>
      </c>
      <c r="E74" s="10" t="n">
        <v>0.0632</v>
      </c>
      <c r="F74" s="53" t="n">
        <f aca="false">Allocation!$H$14</f>
        <v>0.0631827080590467</v>
      </c>
      <c r="G74" s="44" t="n">
        <f aca="false">IFERROR(IF(ISNUMBER(F74),F74-E74,"n/a"),"n/a")</f>
        <v>-1.72919409533595E-005</v>
      </c>
      <c r="H74" s="54" t="n">
        <v>5.0001E-005</v>
      </c>
      <c r="I74" s="52" t="str">
        <f aca="false">IFERROR(IF(ISNUMBER(F74),IF(ABS(F74-E74)&lt;=H74,"PASS","FAIL"),"FAIL"),"FAIL")</f>
        <v>PASS</v>
      </c>
    </row>
    <row r="75" customFormat="false" ht="15" hidden="false" customHeight="false" outlineLevel="0" collapsed="false">
      <c r="B75" s="28" t="n">
        <v>66</v>
      </c>
      <c r="C75" s="9" t="s">
        <v>475</v>
      </c>
      <c r="D75" s="9" t="s">
        <v>502</v>
      </c>
      <c r="E75" s="55" t="n">
        <v>12188</v>
      </c>
      <c r="F75" s="43" t="n">
        <f aca="false">Allocation!$E$14</f>
        <v>12187.5</v>
      </c>
      <c r="G75" s="44" t="n">
        <f aca="false">IFERROR(IF(ISNUMBER(F75),F75-E75,"n/a"),"n/a")</f>
        <v>-0.5</v>
      </c>
      <c r="H75" s="54" t="n">
        <v>0.500000001</v>
      </c>
      <c r="I75" s="52" t="str">
        <f aca="false">IFERROR(IF(ISNUMBER(F75),IF(ABS(F75-E75)&lt;=H75,"PASS","FAIL"),"FAIL"),"FAIL")</f>
        <v>PASS</v>
      </c>
    </row>
    <row r="76" customFormat="false" ht="15" hidden="false" customHeight="false" outlineLevel="0" collapsed="false">
      <c r="B76" s="28" t="n">
        <v>67</v>
      </c>
      <c r="C76" s="9" t="s">
        <v>475</v>
      </c>
      <c r="D76" s="9" t="s">
        <v>503</v>
      </c>
      <c r="E76" s="10" t="n">
        <v>0.0875</v>
      </c>
      <c r="F76" s="53" t="n">
        <f aca="false">Allocation!$G$15</f>
        <v>0.0875368825411204</v>
      </c>
      <c r="G76" s="44" t="n">
        <f aca="false">IFERROR(IF(ISNUMBER(F76),F76-E76,"n/a"),"n/a")</f>
        <v>3.68825411204421E-005</v>
      </c>
      <c r="H76" s="54" t="n">
        <v>5.0001E-005</v>
      </c>
      <c r="I76" s="52" t="str">
        <f aca="false">IFERROR(IF(ISNUMBER(F76),IF(ABS(F76-E76)&lt;=H76,"PASS","FAIL"),"FAIL"),"FAIL")</f>
        <v>PASS</v>
      </c>
    </row>
    <row r="77" customFormat="false" ht="15" hidden="false" customHeight="false" outlineLevel="0" collapsed="false">
      <c r="B77" s="28" t="n">
        <v>68</v>
      </c>
      <c r="C77" s="9" t="s">
        <v>475</v>
      </c>
      <c r="D77" s="9" t="s">
        <v>504</v>
      </c>
      <c r="E77" s="10" t="n">
        <v>0.0695</v>
      </c>
      <c r="F77" s="53" t="n">
        <f aca="false">Allocation!$H$15</f>
        <v>0.0695368825411204</v>
      </c>
      <c r="G77" s="44" t="n">
        <f aca="false">IFERROR(IF(ISNUMBER(F77),F77-E77,"n/a"),"n/a")</f>
        <v>3.68825411204282E-005</v>
      </c>
      <c r="H77" s="54" t="n">
        <v>5.0001E-005</v>
      </c>
      <c r="I77" s="52" t="str">
        <f aca="false">IFERROR(IF(ISNUMBER(F77),IF(ABS(F77-E77)&lt;=H77,"PASS","FAIL"),"FAIL"),"FAIL")</f>
        <v>PASS</v>
      </c>
    </row>
    <row r="78" customFormat="false" ht="15" hidden="false" customHeight="false" outlineLevel="0" collapsed="false">
      <c r="B78" s="28" t="n">
        <v>69</v>
      </c>
      <c r="C78" s="9" t="s">
        <v>475</v>
      </c>
      <c r="D78" s="9" t="s">
        <v>505</v>
      </c>
      <c r="E78" s="55" t="n">
        <v>12125</v>
      </c>
      <c r="F78" s="43" t="n">
        <f aca="false">Allocation!$E$15</f>
        <v>12125</v>
      </c>
      <c r="G78" s="44" t="n">
        <f aca="false">IFERROR(IF(ISNUMBER(F78),F78-E78,"n/a"),"n/a")</f>
        <v>0</v>
      </c>
      <c r="H78" s="54" t="n">
        <v>0.500000001</v>
      </c>
      <c r="I78" s="52" t="str">
        <f aca="false">IFERROR(IF(ISNUMBER(F78),IF(ABS(F78-E78)&lt;=H78,"PASS","FAIL"),"FAIL"),"FAIL")</f>
        <v>PASS</v>
      </c>
    </row>
    <row r="79" customFormat="false" ht="15" hidden="false" customHeight="false" outlineLevel="0" collapsed="false">
      <c r="B79" s="28" t="n">
        <v>70</v>
      </c>
      <c r="C79" s="9" t="s">
        <v>475</v>
      </c>
      <c r="D79" s="9" t="s">
        <v>506</v>
      </c>
      <c r="E79" s="10" t="n">
        <v>0.1006</v>
      </c>
      <c r="F79" s="53" t="n">
        <f aca="false">Allocation!$G$16</f>
        <v>0.100561753609911</v>
      </c>
      <c r="G79" s="44" t="n">
        <f aca="false">IFERROR(IF(ISNUMBER(F79),F79-E79,"n/a"),"n/a")</f>
        <v>-3.8246390089175E-005</v>
      </c>
      <c r="H79" s="54" t="n">
        <v>5.0001E-005</v>
      </c>
      <c r="I79" s="52" t="str">
        <f aca="false">IFERROR(IF(ISNUMBER(F79),IF(ABS(F79-E79)&lt;=H79,"PASS","FAIL"),"FAIL"),"FAIL")</f>
        <v>PASS</v>
      </c>
    </row>
    <row r="80" customFormat="false" ht="15" hidden="false" customHeight="false" outlineLevel="0" collapsed="false">
      <c r="B80" s="28" t="n">
        <v>71</v>
      </c>
      <c r="C80" s="9" t="s">
        <v>475</v>
      </c>
      <c r="D80" s="9" t="s">
        <v>507</v>
      </c>
      <c r="E80" s="10" t="n">
        <v>0.0106</v>
      </c>
      <c r="F80" s="53" t="n">
        <f aca="false">Allocation!$H$16</f>
        <v>0.0105617536099108</v>
      </c>
      <c r="G80" s="44" t="n">
        <f aca="false">IFERROR(IF(ISNUMBER(F80),F80-E80,"n/a"),"n/a")</f>
        <v>-3.82463900891767E-005</v>
      </c>
      <c r="H80" s="54" t="n">
        <v>5.0001E-005</v>
      </c>
      <c r="I80" s="52" t="str">
        <f aca="false">IFERROR(IF(ISNUMBER(F80),IF(ABS(F80-E80)&lt;=H80,"PASS","FAIL"),"FAIL"),"FAIL")</f>
        <v>PASS</v>
      </c>
    </row>
    <row r="81" customFormat="false" ht="15" hidden="false" customHeight="false" outlineLevel="0" collapsed="false">
      <c r="B81" s="28" t="n">
        <v>72</v>
      </c>
      <c r="C81" s="9" t="s">
        <v>475</v>
      </c>
      <c r="D81" s="9" t="s">
        <v>508</v>
      </c>
      <c r="E81" s="55" t="n">
        <v>11750</v>
      </c>
      <c r="F81" s="43" t="n">
        <f aca="false">Allocation!$E$16</f>
        <v>11750</v>
      </c>
      <c r="G81" s="44" t="n">
        <f aca="false">IFERROR(IF(ISNUMBER(F81),F81-E81,"n/a"),"n/a")</f>
        <v>0</v>
      </c>
      <c r="H81" s="54" t="n">
        <v>0.500000001</v>
      </c>
      <c r="I81" s="52" t="str">
        <f aca="false">IFERROR(IF(ISNUMBER(F81),IF(ABS(F81-E81)&lt;=H81,"PASS","FAIL"),"FAIL"),"FAIL")</f>
        <v>PASS</v>
      </c>
    </row>
    <row r="82" customFormat="false" ht="15" hidden="false" customHeight="false" outlineLevel="0" collapsed="false">
      <c r="B82" s="28" t="n">
        <v>73</v>
      </c>
      <c r="C82" s="9" t="s">
        <v>475</v>
      </c>
      <c r="D82" s="9" t="s">
        <v>509</v>
      </c>
      <c r="E82" s="10" t="n">
        <v>0.0665</v>
      </c>
      <c r="F82" s="53" t="n">
        <f aca="false">Allocation!$G$17</f>
        <v>0.0665</v>
      </c>
      <c r="G82" s="44" t="n">
        <f aca="false">IFERROR(IF(ISNUMBER(F82),F82-E82,"n/a"),"n/a")</f>
        <v>0</v>
      </c>
      <c r="H82" s="54" t="n">
        <v>5.0001E-005</v>
      </c>
      <c r="I82" s="52" t="str">
        <f aca="false">IFERROR(IF(ISNUMBER(F82),IF(ABS(F82-E82)&lt;=H82,"PASS","FAIL"),"FAIL"),"FAIL")</f>
        <v>PASS</v>
      </c>
    </row>
    <row r="83" customFormat="false" ht="15" hidden="false" customHeight="false" outlineLevel="0" collapsed="false">
      <c r="B83" s="28" t="n">
        <v>74</v>
      </c>
      <c r="C83" s="9" t="s">
        <v>475</v>
      </c>
      <c r="D83" s="9" t="s">
        <v>510</v>
      </c>
      <c r="E83" s="10" t="n">
        <v>0.056</v>
      </c>
      <c r="F83" s="53" t="n">
        <f aca="false">Allocation!$H$17</f>
        <v>0.056</v>
      </c>
      <c r="G83" s="44" t="n">
        <f aca="false">IFERROR(IF(ISNUMBER(F83),F83-E83,"n/a"),"n/a")</f>
        <v>0</v>
      </c>
      <c r="H83" s="54" t="n">
        <v>5.0001E-005</v>
      </c>
      <c r="I83" s="52" t="str">
        <f aca="false">IFERROR(IF(ISNUMBER(F83),IF(ABS(F83-E83)&lt;=H83,"PASS","FAIL"),"FAIL"),"FAIL")</f>
        <v>PASS</v>
      </c>
    </row>
    <row r="84" customFormat="false" ht="15" hidden="false" customHeight="false" outlineLevel="0" collapsed="false">
      <c r="B84" s="28" t="n">
        <v>75</v>
      </c>
      <c r="C84" s="9" t="s">
        <v>475</v>
      </c>
      <c r="D84" s="9" t="s">
        <v>511</v>
      </c>
      <c r="E84" s="55" t="n">
        <v>75000</v>
      </c>
      <c r="F84" s="43" t="n">
        <f aca="false">Allocation!$E$17</f>
        <v>75000</v>
      </c>
      <c r="G84" s="44" t="n">
        <f aca="false">IFERROR(IF(ISNUMBER(F84),F84-E84,"n/a"),"n/a")</f>
        <v>0</v>
      </c>
      <c r="H84" s="54" t="n">
        <v>0.500000001</v>
      </c>
      <c r="I84" s="52" t="str">
        <f aca="false">IFERROR(IF(ISNUMBER(F84),IF(ABS(F84-E84)&lt;=H84,"PASS","FAIL"),"FAIL"),"FAIL")</f>
        <v>PASS</v>
      </c>
    </row>
    <row r="85" customFormat="false" ht="15" hidden="false" customHeight="false" outlineLevel="0" collapsed="false">
      <c r="B85" s="28" t="n">
        <v>76</v>
      </c>
      <c r="C85" s="9" t="s">
        <v>475</v>
      </c>
      <c r="D85" s="9" t="s">
        <v>512</v>
      </c>
      <c r="E85" s="10" t="n">
        <v>0.1011</v>
      </c>
      <c r="F85" s="53" t="n">
        <f aca="false">Allocation!$G$18</f>
        <v>0.101052631578947</v>
      </c>
      <c r="G85" s="44" t="n">
        <f aca="false">IFERROR(IF(ISNUMBER(F85),F85-E85,"n/a"),"n/a")</f>
        <v>-4.73684210526293E-005</v>
      </c>
      <c r="H85" s="54" t="n">
        <v>5.0001E-005</v>
      </c>
      <c r="I85" s="52" t="str">
        <f aca="false">IFERROR(IF(ISNUMBER(F85),IF(ABS(F85-E85)&lt;=H85,"PASS","FAIL"),"FAIL"),"FAIL")</f>
        <v>PASS</v>
      </c>
    </row>
    <row r="86" customFormat="false" ht="15" hidden="false" customHeight="false" outlineLevel="0" collapsed="false">
      <c r="B86" s="28" t="n">
        <v>77</v>
      </c>
      <c r="C86" s="9" t="s">
        <v>475</v>
      </c>
      <c r="D86" s="9" t="s">
        <v>513</v>
      </c>
      <c r="E86" s="10" t="n">
        <v>0.0981</v>
      </c>
      <c r="F86" s="53" t="n">
        <f aca="false">Allocation!$H$18</f>
        <v>0.0981442065789474</v>
      </c>
      <c r="G86" s="44" t="n">
        <f aca="false">IFERROR(IF(ISNUMBER(F86),F86-E86,"n/a"),"n/a")</f>
        <v>4.42065789473811E-005</v>
      </c>
      <c r="H86" s="54" t="n">
        <v>5.0001E-005</v>
      </c>
      <c r="I86" s="52" t="str">
        <f aca="false">IFERROR(IF(ISNUMBER(F86),IF(ABS(F86-E86)&lt;=H86,"PASS","FAIL"),"FAIL"),"FAIL")</f>
        <v>PASS</v>
      </c>
    </row>
    <row r="87" customFormat="false" ht="15" hidden="false" customHeight="false" outlineLevel="0" collapsed="false">
      <c r="B87" s="28" t="n">
        <v>78</v>
      </c>
      <c r="C87" s="9" t="s">
        <v>475</v>
      </c>
      <c r="D87" s="9" t="s">
        <v>514</v>
      </c>
      <c r="E87" s="55" t="n">
        <v>25000</v>
      </c>
      <c r="F87" s="43" t="n">
        <f aca="false">Allocation!$E$18</f>
        <v>25000</v>
      </c>
      <c r="G87" s="44" t="n">
        <f aca="false">IFERROR(IF(ISNUMBER(F87),F87-E87,"n/a"),"n/a")</f>
        <v>0</v>
      </c>
      <c r="H87" s="54" t="n">
        <v>0.500000001</v>
      </c>
      <c r="I87" s="52" t="str">
        <f aca="false">IFERROR(IF(ISNUMBER(F87),IF(ABS(F87-E87)&lt;=H87,"PASS","FAIL"),"FAIL"),"FAIL")</f>
        <v>PASS</v>
      </c>
    </row>
    <row r="88" customFormat="false" ht="15" hidden="false" customHeight="false" outlineLevel="0" collapsed="false">
      <c r="B88" s="28" t="n">
        <v>79</v>
      </c>
      <c r="C88" s="9" t="s">
        <v>475</v>
      </c>
      <c r="D88" s="9" t="s">
        <v>515</v>
      </c>
      <c r="E88" s="10" t="n">
        <v>0.1067</v>
      </c>
      <c r="F88" s="53" t="n">
        <f aca="false">Allocation!$G$19</f>
        <v>0.106666666666667</v>
      </c>
      <c r="G88" s="44" t="n">
        <f aca="false">IFERROR(IF(ISNUMBER(F88),F88-E88,"n/a"),"n/a")</f>
        <v>-3.33333333333297E-005</v>
      </c>
      <c r="H88" s="54" t="n">
        <v>5.0001E-005</v>
      </c>
      <c r="I88" s="52" t="str">
        <f aca="false">IFERROR(IF(ISNUMBER(F88),IF(ABS(F88-E88)&lt;=H88,"PASS","FAIL"),"FAIL"),"FAIL")</f>
        <v>PASS</v>
      </c>
    </row>
    <row r="89" customFormat="false" ht="15" hidden="false" customHeight="false" outlineLevel="0" collapsed="false">
      <c r="B89" s="28" t="n">
        <v>80</v>
      </c>
      <c r="C89" s="9" t="s">
        <v>475</v>
      </c>
      <c r="D89" s="9" t="s">
        <v>516</v>
      </c>
      <c r="E89" s="10" t="n">
        <v>0.1078</v>
      </c>
      <c r="F89" s="53" t="n">
        <f aca="false">Allocation!$H$19</f>
        <v>0.107780952380952</v>
      </c>
      <c r="G89" s="44" t="n">
        <f aca="false">IFERROR(IF(ISNUMBER(F89),F89-E89,"n/a"),"n/a")</f>
        <v>-1.9047619047613E-005</v>
      </c>
      <c r="H89" s="54" t="n">
        <v>5.0001E-005</v>
      </c>
      <c r="I89" s="52" t="str">
        <f aca="false">IFERROR(IF(ISNUMBER(F89),IF(ABS(F89-E89)&lt;=H89,"PASS","FAIL"),"FAIL"),"FAIL")</f>
        <v>PASS</v>
      </c>
    </row>
    <row r="90" customFormat="false" ht="15" hidden="false" customHeight="false" outlineLevel="0" collapsed="false">
      <c r="B90" s="28" t="n">
        <v>81</v>
      </c>
      <c r="C90" s="9" t="s">
        <v>475</v>
      </c>
      <c r="D90" s="9" t="s">
        <v>517</v>
      </c>
      <c r="E90" s="55" t="n">
        <v>25000</v>
      </c>
      <c r="F90" s="43" t="n">
        <f aca="false">Allocation!$E$19</f>
        <v>25000</v>
      </c>
      <c r="G90" s="44" t="n">
        <f aca="false">IFERROR(IF(ISNUMBER(F90),F90-E90,"n/a"),"n/a")</f>
        <v>0</v>
      </c>
      <c r="H90" s="54" t="n">
        <v>0.500000001</v>
      </c>
      <c r="I90" s="52" t="str">
        <f aca="false">IFERROR(IF(ISNUMBER(F90),IF(ABS(F90-E90)&lt;=H90,"PASS","FAIL"),"FAIL"),"FAIL")</f>
        <v>PASS</v>
      </c>
    </row>
    <row r="91" customFormat="false" ht="15" hidden="false" customHeight="false" outlineLevel="0" collapsed="false">
      <c r="B91" s="28" t="n">
        <v>82</v>
      </c>
      <c r="C91" s="9" t="s">
        <v>475</v>
      </c>
      <c r="D91" s="9" t="s">
        <v>518</v>
      </c>
      <c r="E91" s="10" t="n">
        <v>0.1467</v>
      </c>
      <c r="F91" s="53" t="n">
        <f aca="false">Allocation!$G$20</f>
        <v>0.146666666666667</v>
      </c>
      <c r="G91" s="44" t="n">
        <f aca="false">IFERROR(IF(ISNUMBER(F91),F91-E91,"n/a"),"n/a")</f>
        <v>-3.33333333333297E-005</v>
      </c>
      <c r="H91" s="54" t="n">
        <v>5.0001E-005</v>
      </c>
      <c r="I91" s="52" t="str">
        <f aca="false">IFERROR(IF(ISNUMBER(F91),IF(ABS(F91-E91)&lt;=H91,"PASS","FAIL"),"FAIL"),"FAIL")</f>
        <v>PASS</v>
      </c>
    </row>
    <row r="92" customFormat="false" ht="15" hidden="false" customHeight="false" outlineLevel="0" collapsed="false">
      <c r="B92" s="28" t="n">
        <v>83</v>
      </c>
      <c r="C92" s="9" t="s">
        <v>475</v>
      </c>
      <c r="D92" s="9" t="s">
        <v>519</v>
      </c>
      <c r="E92" s="10" t="n">
        <v>0.1012</v>
      </c>
      <c r="F92" s="53" t="n">
        <f aca="false">Allocation!$H$20</f>
        <v>0.101183733333333</v>
      </c>
      <c r="G92" s="44" t="n">
        <f aca="false">IFERROR(IF(ISNUMBER(F92),F92-E92,"n/a"),"n/a")</f>
        <v>-1.62666666666811E-005</v>
      </c>
      <c r="H92" s="54" t="n">
        <v>5.0001E-005</v>
      </c>
      <c r="I92" s="52" t="str">
        <f aca="false">IFERROR(IF(ISNUMBER(F92),IF(ABS(F92-E92)&lt;=H92,"PASS","FAIL"),"FAIL"),"FAIL")</f>
        <v>PASS</v>
      </c>
    </row>
    <row r="93" customFormat="false" ht="15" hidden="false" customHeight="false" outlineLevel="0" collapsed="false">
      <c r="B93" s="28" t="n">
        <v>84</v>
      </c>
      <c r="C93" s="9" t="s">
        <v>475</v>
      </c>
      <c r="D93" s="9" t="s">
        <v>520</v>
      </c>
      <c r="E93" s="55" t="n">
        <v>25000</v>
      </c>
      <c r="F93" s="43" t="n">
        <f aca="false">Allocation!$E$20</f>
        <v>25000</v>
      </c>
      <c r="G93" s="44" t="n">
        <f aca="false">IFERROR(IF(ISNUMBER(F93),F93-E93,"n/a"),"n/a")</f>
        <v>0</v>
      </c>
      <c r="H93" s="54" t="n">
        <v>0.500000001</v>
      </c>
      <c r="I93" s="52" t="str">
        <f aca="false">IFERROR(IF(ISNUMBER(F93),IF(ABS(F93-E93)&lt;=H93,"PASS","FAIL"),"FAIL"),"FAIL")</f>
        <v>PASS</v>
      </c>
    </row>
    <row r="94" customFormat="false" ht="15" hidden="false" customHeight="false" outlineLevel="0" collapsed="false">
      <c r="B94" s="28" t="n">
        <v>85</v>
      </c>
      <c r="C94" s="9" t="s">
        <v>475</v>
      </c>
      <c r="D94" s="9" t="s">
        <v>521</v>
      </c>
      <c r="E94" s="10" t="n">
        <v>0.09</v>
      </c>
      <c r="F94" s="53" t="n">
        <f aca="false">Allocation!$G$21</f>
        <v>0.09</v>
      </c>
      <c r="G94" s="44" t="n">
        <f aca="false">IFERROR(IF(ISNUMBER(F94),F94-E94,"n/a"),"n/a")</f>
        <v>0</v>
      </c>
      <c r="H94" s="54" t="n">
        <v>5.0001E-005</v>
      </c>
      <c r="I94" s="52" t="str">
        <f aca="false">IFERROR(IF(ISNUMBER(F94),IF(ABS(F94-E94)&lt;=H94,"PASS","FAIL"),"FAIL"),"FAIL")</f>
        <v>PASS</v>
      </c>
    </row>
    <row r="95" customFormat="false" ht="15" hidden="false" customHeight="false" outlineLevel="0" collapsed="false">
      <c r="B95" s="28" t="n">
        <v>86</v>
      </c>
      <c r="C95" s="9" t="s">
        <v>475</v>
      </c>
      <c r="D95" s="9" t="s">
        <v>522</v>
      </c>
      <c r="E95" s="10" t="n">
        <v>0.0719</v>
      </c>
      <c r="F95" s="53" t="n">
        <f aca="false">Allocation!$H$21</f>
        <v>0.071859375</v>
      </c>
      <c r="G95" s="44" t="n">
        <f aca="false">IFERROR(IF(ISNUMBER(F95),F95-E95,"n/a"),"n/a")</f>
        <v>-4.06250000000163E-005</v>
      </c>
      <c r="H95" s="54" t="n">
        <v>5.0001E-005</v>
      </c>
      <c r="I95" s="52" t="str">
        <f aca="false">IFERROR(IF(ISNUMBER(F95),IF(ABS(F95-E95)&lt;=H95,"PASS","FAIL"),"FAIL"),"FAIL")</f>
        <v>PASS</v>
      </c>
    </row>
    <row r="96" customFormat="false" ht="15" hidden="false" customHeight="false" outlineLevel="0" collapsed="false">
      <c r="B96" s="28" t="n">
        <v>87</v>
      </c>
      <c r="C96" s="9" t="s">
        <v>475</v>
      </c>
      <c r="D96" s="9" t="s">
        <v>523</v>
      </c>
      <c r="E96" s="55" t="n">
        <v>100000</v>
      </c>
      <c r="F96" s="43" t="n">
        <f aca="false">Allocation!$E$21</f>
        <v>100000</v>
      </c>
      <c r="G96" s="44" t="n">
        <f aca="false">IFERROR(IF(ISNUMBER(F96),F96-E96,"n/a"),"n/a")</f>
        <v>0</v>
      </c>
      <c r="H96" s="54" t="n">
        <v>0.500000001</v>
      </c>
      <c r="I96" s="52" t="str">
        <f aca="false">IFERROR(IF(ISNUMBER(F96),IF(ABS(F96-E96)&lt;=H96,"PASS","FAIL"),"FAIL"),"FAIL")</f>
        <v>PASS</v>
      </c>
    </row>
    <row r="97" customFormat="false" ht="15" hidden="false" customHeight="false" outlineLevel="0" collapsed="false">
      <c r="B97" s="28" t="n">
        <v>88</v>
      </c>
      <c r="C97" s="9" t="s">
        <v>475</v>
      </c>
      <c r="D97" s="9" t="s">
        <v>524</v>
      </c>
      <c r="E97" s="10" t="n">
        <v>0.04</v>
      </c>
      <c r="F97" s="53" t="n">
        <f aca="false">Allocation!$G$22</f>
        <v>0.04</v>
      </c>
      <c r="G97" s="44" t="n">
        <f aca="false">IFERROR(IF(ISNUMBER(F97),F97-E97,"n/a"),"n/a")</f>
        <v>0</v>
      </c>
      <c r="H97" s="54" t="n">
        <v>5.0001E-005</v>
      </c>
      <c r="I97" s="52" t="str">
        <f aca="false">IFERROR(IF(ISNUMBER(F97),IF(ABS(F97-E97)&lt;=H97,"PASS","FAIL"),"FAIL"),"FAIL")</f>
        <v>PASS</v>
      </c>
    </row>
    <row r="98" customFormat="false" ht="15" hidden="false" customHeight="false" outlineLevel="0" collapsed="false">
      <c r="B98" s="28" t="n">
        <v>89</v>
      </c>
      <c r="C98" s="9" t="s">
        <v>475</v>
      </c>
      <c r="D98" s="9" t="s">
        <v>525</v>
      </c>
      <c r="E98" s="10" t="n">
        <v>0.04</v>
      </c>
      <c r="F98" s="53" t="n">
        <f aca="false">Allocation!$H$22</f>
        <v>0.04</v>
      </c>
      <c r="G98" s="44" t="n">
        <f aca="false">IFERROR(IF(ISNUMBER(F98),F98-E98,"n/a"),"n/a")</f>
        <v>0</v>
      </c>
      <c r="H98" s="54" t="n">
        <v>5.0001E-005</v>
      </c>
      <c r="I98" s="52" t="str">
        <f aca="false">IFERROR(IF(ISNUMBER(F98),IF(ABS(F98-E98)&lt;=H98,"PASS","FAIL"),"FAIL"),"FAIL")</f>
        <v>PASS</v>
      </c>
    </row>
    <row r="99" customFormat="false" ht="15" hidden="false" customHeight="false" outlineLevel="0" collapsed="false">
      <c r="B99" s="28" t="n">
        <v>90</v>
      </c>
      <c r="C99" s="9" t="s">
        <v>475</v>
      </c>
      <c r="D99" s="9" t="s">
        <v>526</v>
      </c>
      <c r="E99" s="55" t="n">
        <v>52000</v>
      </c>
      <c r="F99" s="43" t="n">
        <f aca="false">Allocation!$E$22</f>
        <v>52000</v>
      </c>
      <c r="G99" s="44" t="n">
        <f aca="false">IFERROR(IF(ISNUMBER(F99),F99-E99,"n/a"),"n/a")</f>
        <v>0</v>
      </c>
      <c r="H99" s="54" t="n">
        <v>0.500000001</v>
      </c>
      <c r="I99" s="52" t="str">
        <f aca="false">IFERROR(IF(ISNUMBER(F99),IF(ABS(F99-E99)&lt;=H99,"PASS","FAIL"),"FAIL"),"FAIL")</f>
        <v>PASS</v>
      </c>
    </row>
    <row r="100" customFormat="false" ht="15" hidden="false" customHeight="false" outlineLevel="0" collapsed="false">
      <c r="B100" s="28" t="n">
        <v>91</v>
      </c>
      <c r="C100" s="9" t="s">
        <v>475</v>
      </c>
      <c r="D100" s="9" t="s">
        <v>527</v>
      </c>
      <c r="E100" s="10" t="n">
        <v>0.0746</v>
      </c>
      <c r="F100" s="53" t="n">
        <f aca="false">Allocation!$G$23</f>
        <v>0.0745839170334103</v>
      </c>
      <c r="G100" s="44" t="n">
        <f aca="false">IFERROR(IF(ISNUMBER(F100),F100-E100,"n/a"),"n/a")</f>
        <v>-1.608296658967E-005</v>
      </c>
      <c r="H100" s="54" t="n">
        <v>5.0001E-005</v>
      </c>
      <c r="I100" s="52" t="str">
        <f aca="false">IFERROR(IF(ISNUMBER(F100),IF(ABS(F100-E100)&lt;=H100,"PASS","FAIL"),"FAIL"),"FAIL")</f>
        <v>PASS</v>
      </c>
    </row>
    <row r="101" customFormat="false" ht="15" hidden="false" customHeight="false" outlineLevel="0" collapsed="false">
      <c r="B101" s="28" t="n">
        <v>92</v>
      </c>
      <c r="C101" s="9" t="s">
        <v>475</v>
      </c>
      <c r="D101" s="9" t="s">
        <v>528</v>
      </c>
      <c r="E101" s="10" t="n">
        <v>0.0631</v>
      </c>
      <c r="F101" s="53" t="n">
        <f aca="false">Allocation!$H$23</f>
        <v>0.0630794384024579</v>
      </c>
      <c r="G101" s="44" t="n">
        <f aca="false">IFERROR(IF(ISNUMBER(F101),F101-E101,"n/a"),"n/a")</f>
        <v>-2.05615975420459E-005</v>
      </c>
      <c r="H101" s="54" t="n">
        <v>5.0001E-005</v>
      </c>
      <c r="I101" s="52" t="str">
        <f aca="false">IFERROR(IF(ISNUMBER(F101),IF(ABS(F101-E101)&lt;=H101,"PASS","FAIL"),"FAIL"),"FAIL")</f>
        <v>PASS</v>
      </c>
    </row>
    <row r="102" customFormat="false" ht="15" hidden="false" customHeight="false" outlineLevel="0" collapsed="false">
      <c r="B102" s="28" t="n">
        <v>93</v>
      </c>
      <c r="C102" s="9" t="s">
        <v>475</v>
      </c>
      <c r="D102" s="9" t="s">
        <v>529</v>
      </c>
      <c r="E102" s="10" t="n">
        <v>0.0768</v>
      </c>
      <c r="F102" s="53" t="n">
        <f aca="false">Allocation!$I$23</f>
        <v>0.0767512297137313</v>
      </c>
      <c r="G102" s="44" t="n">
        <f aca="false">IFERROR(IF(ISNUMBER(F102),F102-E102,"n/a"),"n/a")</f>
        <v>-4.87702862686651E-005</v>
      </c>
      <c r="H102" s="54" t="n">
        <v>5.0001E-005</v>
      </c>
      <c r="I102" s="52" t="str">
        <f aca="false">IFERROR(IF(ISNUMBER(F102),IF(ABS(F102-E102)&lt;=H102,"PASS","FAIL"),"FAIL"),"FAIL")</f>
        <v>PASS</v>
      </c>
    </row>
    <row r="103" customFormat="false" ht="15" hidden="false" customHeight="true" outlineLevel="0" collapsed="false">
      <c r="B103" s="28" t="n">
        <v>94</v>
      </c>
      <c r="C103" s="9" t="s">
        <v>475</v>
      </c>
      <c r="D103" s="58" t="s">
        <v>530</v>
      </c>
      <c r="E103" s="47" t="s">
        <v>531</v>
      </c>
      <c r="F103" s="59" t="str">
        <f aca="false">IFERROR(IF(ABS(Allocation!$E$23-Assumptions!$C$7)&lt;0.000001,"holds","does not hold"),"error")</f>
        <v>holds</v>
      </c>
      <c r="G103" s="9"/>
      <c r="H103" s="9"/>
      <c r="I103" s="52" t="str">
        <f aca="false">IFERROR(IF(ABS(Allocation!$E$23-Assumptions!$C$7)&lt;0.000001,"PASS","FAIL"),"FAIL")</f>
        <v>PASS</v>
      </c>
    </row>
    <row r="104" customFormat="false" ht="15" hidden="false" customHeight="true" outlineLevel="0" collapsed="false">
      <c r="B104" s="28" t="n">
        <v>95</v>
      </c>
      <c r="C104" s="9" t="s">
        <v>475</v>
      </c>
      <c r="D104" s="58" t="s">
        <v>532</v>
      </c>
      <c r="E104" s="47" t="s">
        <v>531</v>
      </c>
      <c r="F104" s="59" t="str">
        <f aca="false">IFERROR(IF(Allocation!$H$23&lt;Allocation!$G$23,"holds","does not hold"),"error")</f>
        <v>holds</v>
      </c>
      <c r="G104" s="9"/>
      <c r="H104" s="9"/>
      <c r="I104" s="52" t="str">
        <f aca="false">IFERROR(IF(Allocation!$H$23&lt;Allocation!$G$23,"PASS","FAIL"),"FAIL")</f>
        <v>PASS</v>
      </c>
    </row>
    <row r="105" customFormat="false" ht="15" hidden="false" customHeight="false" outlineLevel="0" collapsed="false">
      <c r="B105" s="28" t="n">
        <v>96</v>
      </c>
      <c r="C105" s="9" t="s">
        <v>475</v>
      </c>
      <c r="D105" s="9" t="s">
        <v>533</v>
      </c>
      <c r="E105" s="55" t="n">
        <v>125000</v>
      </c>
      <c r="F105" s="43" t="n">
        <f aca="false">Allocation!$E$27</f>
        <v>125000</v>
      </c>
      <c r="G105" s="44" t="n">
        <f aca="false">IFERROR(IF(ISNUMBER(F105),F105-E105,"n/a"),"n/a")</f>
        <v>0</v>
      </c>
      <c r="H105" s="54" t="n">
        <v>0.500000001</v>
      </c>
      <c r="I105" s="52" t="str">
        <f aca="false">IFERROR(IF(ISNUMBER(F105),IF(ABS(F105-E105)&lt;=H105,"PASS","FAIL"),"FAIL"),"FAIL")</f>
        <v>PASS</v>
      </c>
    </row>
    <row r="106" customFormat="false" ht="15" hidden="false" customHeight="false" outlineLevel="0" collapsed="false">
      <c r="B106" s="28" t="n">
        <v>97</v>
      </c>
      <c r="C106" s="9" t="s">
        <v>475</v>
      </c>
      <c r="D106" s="9" t="s">
        <v>534</v>
      </c>
      <c r="E106" s="21" t="n">
        <v>0.25</v>
      </c>
      <c r="F106" s="57" t="n">
        <f aca="false">Allocation!$F$27</f>
        <v>0.25</v>
      </c>
      <c r="G106" s="44" t="n">
        <f aca="false">IFERROR(IF(ISNUMBER(F106),F106-E106,"n/a"),"n/a")</f>
        <v>0</v>
      </c>
      <c r="H106" s="54" t="n">
        <v>0.000500001</v>
      </c>
      <c r="I106" s="52" t="str">
        <f aca="false">IFERROR(IF(ISNUMBER(F106),IF(ABS(F106-E106)&lt;=H106,"PASS","FAIL"),"FAIL"),"FAIL")</f>
        <v>PASS</v>
      </c>
    </row>
    <row r="107" customFormat="false" ht="15" hidden="false" customHeight="false" outlineLevel="0" collapsed="false">
      <c r="B107" s="28" t="n">
        <v>98</v>
      </c>
      <c r="C107" s="9" t="s">
        <v>475</v>
      </c>
      <c r="D107" s="9" t="s">
        <v>535</v>
      </c>
      <c r="E107" s="10" t="n">
        <v>0.0513</v>
      </c>
      <c r="F107" s="53" t="n">
        <f aca="false">Allocation!$G$27</f>
        <v>0.0513</v>
      </c>
      <c r="G107" s="44" t="n">
        <f aca="false">IFERROR(IF(ISNUMBER(F107),F107-E107,"n/a"),"n/a")</f>
        <v>0</v>
      </c>
      <c r="H107" s="54" t="n">
        <v>5.0001E-005</v>
      </c>
      <c r="I107" s="52" t="str">
        <f aca="false">IFERROR(IF(ISNUMBER(F107),IF(ABS(F107-E107)&lt;=H107,"PASS","FAIL"),"FAIL"),"FAIL")</f>
        <v>PASS</v>
      </c>
    </row>
    <row r="108" customFormat="false" ht="15" hidden="false" customHeight="false" outlineLevel="0" collapsed="false">
      <c r="B108" s="28" t="n">
        <v>99</v>
      </c>
      <c r="C108" s="9" t="s">
        <v>475</v>
      </c>
      <c r="D108" s="9" t="s">
        <v>536</v>
      </c>
      <c r="E108" s="10" t="n">
        <v>0.0505</v>
      </c>
      <c r="F108" s="53" t="n">
        <f aca="false">Allocation!$H$27</f>
        <v>0.05046</v>
      </c>
      <c r="G108" s="44" t="n">
        <f aca="false">IFERROR(IF(ISNUMBER(F108),F108-E108,"n/a"),"n/a")</f>
        <v>-4.00000000000053E-005</v>
      </c>
      <c r="H108" s="54" t="n">
        <v>5.0001E-005</v>
      </c>
      <c r="I108" s="52" t="str">
        <f aca="false">IFERROR(IF(ISNUMBER(F108),IF(ABS(F108-E108)&lt;=H108,"PASS","FAIL"),"FAIL"),"FAIL")</f>
        <v>PASS</v>
      </c>
    </row>
    <row r="109" customFormat="false" ht="15" hidden="false" customHeight="false" outlineLevel="0" collapsed="false">
      <c r="B109" s="28" t="n">
        <v>100</v>
      </c>
      <c r="C109" s="9" t="s">
        <v>475</v>
      </c>
      <c r="D109" s="9" t="s">
        <v>537</v>
      </c>
      <c r="E109" s="55" t="n">
        <v>73000</v>
      </c>
      <c r="F109" s="43" t="n">
        <f aca="false">Allocation!$E$28</f>
        <v>73000</v>
      </c>
      <c r="G109" s="44" t="n">
        <f aca="false">IFERROR(IF(ISNUMBER(F109),F109-E109,"n/a"),"n/a")</f>
        <v>0</v>
      </c>
      <c r="H109" s="54" t="n">
        <v>0.500000001</v>
      </c>
      <c r="I109" s="52" t="str">
        <f aca="false">IFERROR(IF(ISNUMBER(F109),IF(ABS(F109-E109)&lt;=H109,"PASS","FAIL"),"FAIL"),"FAIL")</f>
        <v>PASS</v>
      </c>
    </row>
    <row r="110" customFormat="false" ht="15" hidden="false" customHeight="false" outlineLevel="0" collapsed="false">
      <c r="B110" s="28" t="n">
        <v>101</v>
      </c>
      <c r="C110" s="9" t="s">
        <v>475</v>
      </c>
      <c r="D110" s="9" t="s">
        <v>538</v>
      </c>
      <c r="E110" s="21" t="n">
        <v>0.146</v>
      </c>
      <c r="F110" s="57" t="n">
        <f aca="false">Allocation!$F$28</f>
        <v>0.146</v>
      </c>
      <c r="G110" s="44" t="n">
        <f aca="false">IFERROR(IF(ISNUMBER(F110),F110-E110,"n/a"),"n/a")</f>
        <v>0</v>
      </c>
      <c r="H110" s="54" t="n">
        <v>0.000500001</v>
      </c>
      <c r="I110" s="52" t="str">
        <f aca="false">IFERROR(IF(ISNUMBER(F110),IF(ABS(F110-E110)&lt;=H110,"PASS","FAIL"),"FAIL"),"FAIL")</f>
        <v>PASS</v>
      </c>
    </row>
    <row r="111" customFormat="false" ht="15" hidden="false" customHeight="false" outlineLevel="0" collapsed="false">
      <c r="B111" s="28" t="n">
        <v>102</v>
      </c>
      <c r="C111" s="9" t="s">
        <v>475</v>
      </c>
      <c r="D111" s="9" t="s">
        <v>539</v>
      </c>
      <c r="E111" s="10" t="n">
        <v>0.0815</v>
      </c>
      <c r="F111" s="53" t="n">
        <f aca="false">Allocation!$G$28</f>
        <v>0.0815384848479198</v>
      </c>
      <c r="G111" s="44" t="n">
        <f aca="false">IFERROR(IF(ISNUMBER(F111),F111-E111,"n/a"),"n/a")</f>
        <v>3.8484847919823E-005</v>
      </c>
      <c r="H111" s="54" t="n">
        <v>5.0001E-005</v>
      </c>
      <c r="I111" s="52" t="str">
        <f aca="false">IFERROR(IF(ISNUMBER(F111),IF(ABS(F111-E111)&lt;=H111,"PASS","FAIL"),"FAIL"),"FAIL")</f>
        <v>PASS</v>
      </c>
    </row>
    <row r="112" customFormat="false" ht="15" hidden="false" customHeight="false" outlineLevel="0" collapsed="false">
      <c r="B112" s="28" t="n">
        <v>103</v>
      </c>
      <c r="C112" s="9" t="s">
        <v>475</v>
      </c>
      <c r="D112" s="9" t="s">
        <v>540</v>
      </c>
      <c r="E112" s="10" t="n">
        <v>0.056</v>
      </c>
      <c r="F112" s="53" t="n">
        <f aca="false">Allocation!$H$28</f>
        <v>0.0560076629301116</v>
      </c>
      <c r="G112" s="44" t="n">
        <f aca="false">IFERROR(IF(ISNUMBER(F112),F112-E112,"n/a"),"n/a")</f>
        <v>7.66293011161129E-006</v>
      </c>
      <c r="H112" s="54" t="n">
        <v>5.0001E-005</v>
      </c>
      <c r="I112" s="52" t="str">
        <f aca="false">IFERROR(IF(ISNUMBER(F112),IF(ABS(F112-E112)&lt;=H112,"PASS","FAIL"),"FAIL"),"FAIL")</f>
        <v>PASS</v>
      </c>
    </row>
    <row r="113" customFormat="false" ht="15" hidden="false" customHeight="false" outlineLevel="0" collapsed="false">
      <c r="B113" s="28" t="n">
        <v>104</v>
      </c>
      <c r="C113" s="9" t="s">
        <v>475</v>
      </c>
      <c r="D113" s="9" t="s">
        <v>541</v>
      </c>
      <c r="E113" s="55" t="n">
        <v>75000</v>
      </c>
      <c r="F113" s="43" t="n">
        <f aca="false">Allocation!$E$29</f>
        <v>75000</v>
      </c>
      <c r="G113" s="44" t="n">
        <f aca="false">IFERROR(IF(ISNUMBER(F113),F113-E113,"n/a"),"n/a")</f>
        <v>0</v>
      </c>
      <c r="H113" s="54" t="n">
        <v>0.500000001</v>
      </c>
      <c r="I113" s="52" t="str">
        <f aca="false">IFERROR(IF(ISNUMBER(F113),IF(ABS(F113-E113)&lt;=H113,"PASS","FAIL"),"FAIL"),"FAIL")</f>
        <v>PASS</v>
      </c>
    </row>
    <row r="114" customFormat="false" ht="15" hidden="false" customHeight="false" outlineLevel="0" collapsed="false">
      <c r="B114" s="28" t="n">
        <v>105</v>
      </c>
      <c r="C114" s="9" t="s">
        <v>475</v>
      </c>
      <c r="D114" s="9" t="s">
        <v>542</v>
      </c>
      <c r="E114" s="21" t="n">
        <v>0.15</v>
      </c>
      <c r="F114" s="57" t="n">
        <f aca="false">Allocation!$F$29</f>
        <v>0.15</v>
      </c>
      <c r="G114" s="44" t="n">
        <f aca="false">IFERROR(IF(ISNUMBER(F114),F114-E114,"n/a"),"n/a")</f>
        <v>0</v>
      </c>
      <c r="H114" s="54" t="n">
        <v>0.000500001</v>
      </c>
      <c r="I114" s="52" t="str">
        <f aca="false">IFERROR(IF(ISNUMBER(F114),IF(ABS(F114-E114)&lt;=H114,"PASS","FAIL"),"FAIL"),"FAIL")</f>
        <v>PASS</v>
      </c>
    </row>
    <row r="115" customFormat="false" ht="15" hidden="false" customHeight="false" outlineLevel="0" collapsed="false">
      <c r="B115" s="28" t="n">
        <v>106</v>
      </c>
      <c r="C115" s="9" t="s">
        <v>475</v>
      </c>
      <c r="D115" s="9" t="s">
        <v>543</v>
      </c>
      <c r="E115" s="10" t="n">
        <v>0.0665</v>
      </c>
      <c r="F115" s="53" t="n">
        <f aca="false">Allocation!$G$29</f>
        <v>0.0665</v>
      </c>
      <c r="G115" s="44" t="n">
        <f aca="false">IFERROR(IF(ISNUMBER(F115),F115-E115,"n/a"),"n/a")</f>
        <v>0</v>
      </c>
      <c r="H115" s="54" t="n">
        <v>5.0001E-005</v>
      </c>
      <c r="I115" s="52" t="str">
        <f aca="false">IFERROR(IF(ISNUMBER(F115),IF(ABS(F115-E115)&lt;=H115,"PASS","FAIL"),"FAIL"),"FAIL")</f>
        <v>PASS</v>
      </c>
    </row>
    <row r="116" customFormat="false" ht="15" hidden="false" customHeight="false" outlineLevel="0" collapsed="false">
      <c r="B116" s="28" t="n">
        <v>107</v>
      </c>
      <c r="C116" s="9" t="s">
        <v>475</v>
      </c>
      <c r="D116" s="9" t="s">
        <v>544</v>
      </c>
      <c r="E116" s="10" t="n">
        <v>0.056</v>
      </c>
      <c r="F116" s="53" t="n">
        <f aca="false">Allocation!$H$29</f>
        <v>0.056</v>
      </c>
      <c r="G116" s="44" t="n">
        <f aca="false">IFERROR(IF(ISNUMBER(F116),F116-E116,"n/a"),"n/a")</f>
        <v>0</v>
      </c>
      <c r="H116" s="54" t="n">
        <v>5.0001E-005</v>
      </c>
      <c r="I116" s="52" t="str">
        <f aca="false">IFERROR(IF(ISNUMBER(F116),IF(ABS(F116-E116)&lt;=H116,"PASS","FAIL"),"FAIL"),"FAIL")</f>
        <v>PASS</v>
      </c>
    </row>
    <row r="117" customFormat="false" ht="15" hidden="false" customHeight="false" outlineLevel="0" collapsed="false">
      <c r="B117" s="28" t="n">
        <v>108</v>
      </c>
      <c r="C117" s="9" t="s">
        <v>475</v>
      </c>
      <c r="D117" s="9" t="s">
        <v>545</v>
      </c>
      <c r="E117" s="55" t="n">
        <v>75000</v>
      </c>
      <c r="F117" s="43" t="n">
        <f aca="false">Allocation!$E$30</f>
        <v>75000</v>
      </c>
      <c r="G117" s="44" t="n">
        <f aca="false">IFERROR(IF(ISNUMBER(F117),F117-E117,"n/a"),"n/a")</f>
        <v>0</v>
      </c>
      <c r="H117" s="54" t="n">
        <v>0.500000001</v>
      </c>
      <c r="I117" s="52" t="str">
        <f aca="false">IFERROR(IF(ISNUMBER(F117),IF(ABS(F117-E117)&lt;=H117,"PASS","FAIL"),"FAIL"),"FAIL")</f>
        <v>PASS</v>
      </c>
    </row>
    <row r="118" customFormat="false" ht="15" hidden="false" customHeight="false" outlineLevel="0" collapsed="false">
      <c r="B118" s="28" t="n">
        <v>109</v>
      </c>
      <c r="C118" s="9" t="s">
        <v>475</v>
      </c>
      <c r="D118" s="9" t="s">
        <v>546</v>
      </c>
      <c r="E118" s="21" t="n">
        <v>0.15</v>
      </c>
      <c r="F118" s="57" t="n">
        <f aca="false">Allocation!$F$30</f>
        <v>0.15</v>
      </c>
      <c r="G118" s="44" t="n">
        <f aca="false">IFERROR(IF(ISNUMBER(F118),F118-E118,"n/a"),"n/a")</f>
        <v>0</v>
      </c>
      <c r="H118" s="54" t="n">
        <v>0.000500001</v>
      </c>
      <c r="I118" s="52" t="str">
        <f aca="false">IFERROR(IF(ISNUMBER(F118),IF(ABS(F118-E118)&lt;=H118,"PASS","FAIL"),"FAIL"),"FAIL")</f>
        <v>PASS</v>
      </c>
    </row>
    <row r="119" customFormat="false" ht="15" hidden="false" customHeight="false" outlineLevel="0" collapsed="false">
      <c r="B119" s="28" t="n">
        <v>110</v>
      </c>
      <c r="C119" s="9" t="s">
        <v>475</v>
      </c>
      <c r="D119" s="9" t="s">
        <v>547</v>
      </c>
      <c r="E119" s="10" t="n">
        <v>0.1181</v>
      </c>
      <c r="F119" s="53" t="n">
        <f aca="false">Allocation!$G$30</f>
        <v>0.11812865497076</v>
      </c>
      <c r="G119" s="44" t="n">
        <f aca="false">IFERROR(IF(ISNUMBER(F119),F119-E119,"n/a"),"n/a")</f>
        <v>2.8654970760239E-005</v>
      </c>
      <c r="H119" s="54" t="n">
        <v>5.0001E-005</v>
      </c>
      <c r="I119" s="52" t="str">
        <f aca="false">IFERROR(IF(ISNUMBER(F119),IF(ABS(F119-E119)&lt;=H119,"PASS","FAIL"),"FAIL"),"FAIL")</f>
        <v>PASS</v>
      </c>
    </row>
    <row r="120" customFormat="false" ht="15" hidden="false" customHeight="false" outlineLevel="0" collapsed="false">
      <c r="B120" s="28" t="n">
        <v>111</v>
      </c>
      <c r="C120" s="9" t="s">
        <v>475</v>
      </c>
      <c r="D120" s="9" t="s">
        <v>548</v>
      </c>
      <c r="E120" s="10" t="n">
        <v>0.1024</v>
      </c>
      <c r="F120" s="53" t="n">
        <f aca="false">Allocation!$H$30</f>
        <v>0.102369630764411</v>
      </c>
      <c r="G120" s="44" t="n">
        <f aca="false">IFERROR(IF(ISNUMBER(F120),F120-E120,"n/a"),"n/a")</f>
        <v>-3.03692355889812E-005</v>
      </c>
      <c r="H120" s="54" t="n">
        <v>5.0001E-005</v>
      </c>
      <c r="I120" s="52" t="str">
        <f aca="false">IFERROR(IF(ISNUMBER(F120),IF(ABS(F120-E120)&lt;=H120,"PASS","FAIL"),"FAIL"),"FAIL")</f>
        <v>PASS</v>
      </c>
    </row>
    <row r="121" customFormat="false" ht="15" hidden="false" customHeight="false" outlineLevel="0" collapsed="false">
      <c r="B121" s="28" t="n">
        <v>112</v>
      </c>
      <c r="C121" s="9" t="s">
        <v>475</v>
      </c>
      <c r="D121" s="9" t="s">
        <v>549</v>
      </c>
      <c r="E121" s="55" t="n">
        <v>100000</v>
      </c>
      <c r="F121" s="43" t="n">
        <f aca="false">Allocation!$E$31</f>
        <v>100000</v>
      </c>
      <c r="G121" s="44" t="n">
        <f aca="false">IFERROR(IF(ISNUMBER(F121),F121-E121,"n/a"),"n/a")</f>
        <v>0</v>
      </c>
      <c r="H121" s="54" t="n">
        <v>0.500000001</v>
      </c>
      <c r="I121" s="52" t="str">
        <f aca="false">IFERROR(IF(ISNUMBER(F121),IF(ABS(F121-E121)&lt;=H121,"PASS","FAIL"),"FAIL"),"FAIL")</f>
        <v>PASS</v>
      </c>
    </row>
    <row r="122" customFormat="false" ht="15" hidden="false" customHeight="false" outlineLevel="0" collapsed="false">
      <c r="B122" s="28" t="n">
        <v>113</v>
      </c>
      <c r="C122" s="9" t="s">
        <v>475</v>
      </c>
      <c r="D122" s="9" t="s">
        <v>550</v>
      </c>
      <c r="E122" s="21" t="n">
        <v>0.2</v>
      </c>
      <c r="F122" s="57" t="n">
        <f aca="false">Allocation!$F$31</f>
        <v>0.2</v>
      </c>
      <c r="G122" s="44" t="n">
        <f aca="false">IFERROR(IF(ISNUMBER(F122),F122-E122,"n/a"),"n/a")</f>
        <v>0</v>
      </c>
      <c r="H122" s="54" t="n">
        <v>0.000500001</v>
      </c>
      <c r="I122" s="52" t="str">
        <f aca="false">IFERROR(IF(ISNUMBER(F122),IF(ABS(F122-E122)&lt;=H122,"PASS","FAIL"),"FAIL"),"FAIL")</f>
        <v>PASS</v>
      </c>
    </row>
    <row r="123" customFormat="false" ht="15" hidden="false" customHeight="false" outlineLevel="0" collapsed="false">
      <c r="B123" s="28" t="n">
        <v>114</v>
      </c>
      <c r="C123" s="9" t="s">
        <v>475</v>
      </c>
      <c r="D123" s="9" t="s">
        <v>551</v>
      </c>
      <c r="E123" s="10" t="n">
        <v>0.09</v>
      </c>
      <c r="F123" s="53" t="n">
        <f aca="false">Allocation!$G$31</f>
        <v>0.09</v>
      </c>
      <c r="G123" s="44" t="n">
        <f aca="false">IFERROR(IF(ISNUMBER(F123),F123-E123,"n/a"),"n/a")</f>
        <v>0</v>
      </c>
      <c r="H123" s="54" t="n">
        <v>5.0001E-005</v>
      </c>
      <c r="I123" s="52" t="str">
        <f aca="false">IFERROR(IF(ISNUMBER(F123),IF(ABS(F123-E123)&lt;=H123,"PASS","FAIL"),"FAIL"),"FAIL")</f>
        <v>PASS</v>
      </c>
    </row>
    <row r="124" customFormat="false" ht="15" hidden="false" customHeight="false" outlineLevel="0" collapsed="false">
      <c r="B124" s="28" t="n">
        <v>115</v>
      </c>
      <c r="C124" s="9" t="s">
        <v>475</v>
      </c>
      <c r="D124" s="9" t="s">
        <v>552</v>
      </c>
      <c r="E124" s="10" t="n">
        <v>0.0719</v>
      </c>
      <c r="F124" s="53" t="n">
        <f aca="false">Allocation!$H$31</f>
        <v>0.071859375</v>
      </c>
      <c r="G124" s="44" t="n">
        <f aca="false">IFERROR(IF(ISNUMBER(F124),F124-E124,"n/a"),"n/a")</f>
        <v>-4.06250000000163E-005</v>
      </c>
      <c r="H124" s="54" t="n">
        <v>5.0001E-005</v>
      </c>
      <c r="I124" s="52" t="str">
        <f aca="false">IFERROR(IF(ISNUMBER(F124),IF(ABS(F124-E124)&lt;=H124,"PASS","FAIL"),"FAIL"),"FAIL")</f>
        <v>PASS</v>
      </c>
    </row>
    <row r="125" customFormat="false" ht="15" hidden="false" customHeight="false" outlineLevel="0" collapsed="false">
      <c r="B125" s="28" t="n">
        <v>116</v>
      </c>
      <c r="C125" s="9" t="s">
        <v>475</v>
      </c>
      <c r="D125" s="9" t="s">
        <v>553</v>
      </c>
      <c r="E125" s="55" t="n">
        <v>52000</v>
      </c>
      <c r="F125" s="43" t="n">
        <f aca="false">Allocation!$E$32</f>
        <v>52000</v>
      </c>
      <c r="G125" s="44" t="n">
        <f aca="false">IFERROR(IF(ISNUMBER(F125),F125-E125,"n/a"),"n/a")</f>
        <v>0</v>
      </c>
      <c r="H125" s="54" t="n">
        <v>0.500000001</v>
      </c>
      <c r="I125" s="52" t="str">
        <f aca="false">IFERROR(IF(ISNUMBER(F125),IF(ABS(F125-E125)&lt;=H125,"PASS","FAIL"),"FAIL"),"FAIL")</f>
        <v>PASS</v>
      </c>
    </row>
    <row r="126" customFormat="false" ht="15" hidden="false" customHeight="false" outlineLevel="0" collapsed="false">
      <c r="B126" s="28" t="n">
        <v>117</v>
      </c>
      <c r="C126" s="9" t="s">
        <v>475</v>
      </c>
      <c r="D126" s="9" t="s">
        <v>554</v>
      </c>
      <c r="E126" s="21" t="n">
        <v>0.104</v>
      </c>
      <c r="F126" s="57" t="n">
        <f aca="false">Allocation!$F$32</f>
        <v>0.104</v>
      </c>
      <c r="G126" s="44" t="n">
        <f aca="false">IFERROR(IF(ISNUMBER(F126),F126-E126,"n/a"),"n/a")</f>
        <v>0</v>
      </c>
      <c r="H126" s="54" t="n">
        <v>0.000500001</v>
      </c>
      <c r="I126" s="52" t="str">
        <f aca="false">IFERROR(IF(ISNUMBER(F126),IF(ABS(F126-E126)&lt;=H126,"PASS","FAIL"),"FAIL"),"FAIL")</f>
        <v>PASS</v>
      </c>
    </row>
    <row r="127" customFormat="false" ht="15" hidden="false" customHeight="false" outlineLevel="0" collapsed="false">
      <c r="B127" s="28" t="n">
        <v>118</v>
      </c>
      <c r="C127" s="9" t="s">
        <v>475</v>
      </c>
      <c r="D127" s="9" t="s">
        <v>555</v>
      </c>
      <c r="E127" s="10" t="n">
        <v>0.04</v>
      </c>
      <c r="F127" s="53" t="n">
        <f aca="false">Allocation!$G$32</f>
        <v>0.04</v>
      </c>
      <c r="G127" s="44" t="n">
        <f aca="false">IFERROR(IF(ISNUMBER(F127),F127-E127,"n/a"),"n/a")</f>
        <v>0</v>
      </c>
      <c r="H127" s="54" t="n">
        <v>5.0001E-005</v>
      </c>
      <c r="I127" s="52" t="str">
        <f aca="false">IFERROR(IF(ISNUMBER(F127),IF(ABS(F127-E127)&lt;=H127,"PASS","FAIL"),"FAIL"),"FAIL")</f>
        <v>PASS</v>
      </c>
    </row>
    <row r="128" customFormat="false" ht="15" hidden="false" customHeight="false" outlineLevel="0" collapsed="false">
      <c r="B128" s="28" t="n">
        <v>119</v>
      </c>
      <c r="C128" s="9" t="s">
        <v>475</v>
      </c>
      <c r="D128" s="9" t="s">
        <v>556</v>
      </c>
      <c r="E128" s="10" t="n">
        <v>0.04</v>
      </c>
      <c r="F128" s="53" t="n">
        <f aca="false">Allocation!$H$32</f>
        <v>0.04</v>
      </c>
      <c r="G128" s="44" t="n">
        <f aca="false">IFERROR(IF(ISNUMBER(F128),F128-E128,"n/a"),"n/a")</f>
        <v>0</v>
      </c>
      <c r="H128" s="54" t="n">
        <v>5.0001E-005</v>
      </c>
      <c r="I128" s="52" t="str">
        <f aca="false">IFERROR(IF(ISNUMBER(F128),IF(ABS(F128-E128)&lt;=H128,"PASS","FAIL"),"FAIL"),"FAIL")</f>
        <v>PASS</v>
      </c>
    </row>
    <row r="129" customFormat="false" ht="15" hidden="false" customHeight="false" outlineLevel="0" collapsed="false">
      <c r="B129" s="28" t="n">
        <v>120</v>
      </c>
      <c r="C129" s="9" t="s">
        <v>475</v>
      </c>
      <c r="D129" s="9" t="s">
        <v>557</v>
      </c>
      <c r="E129" s="55" t="n">
        <v>500000</v>
      </c>
      <c r="F129" s="43" t="n">
        <f aca="false">Allocation!$C$34</f>
        <v>500000</v>
      </c>
      <c r="G129" s="44" t="n">
        <f aca="false">IFERROR(IF(ISNUMBER(F129),F129-E129,"n/a"),"n/a")</f>
        <v>0</v>
      </c>
      <c r="H129" s="54" t="n">
        <v>0.500000001</v>
      </c>
      <c r="I129" s="52" t="str">
        <f aca="false">IFERROR(IF(ISNUMBER(F129),IF(ABS(F129-E129)&lt;=H129,"PASS","FAIL"),"FAIL"),"FAIL")</f>
        <v>PASS</v>
      </c>
    </row>
    <row r="130" customFormat="false" ht="15" hidden="false" customHeight="false" outlineLevel="0" collapsed="false">
      <c r="B130" s="28" t="n">
        <v>121</v>
      </c>
      <c r="C130" s="9" t="s">
        <v>475</v>
      </c>
      <c r="D130" s="9" t="s">
        <v>558</v>
      </c>
      <c r="E130" s="18" t="n">
        <v>73000</v>
      </c>
      <c r="F130" s="46" t="n">
        <f aca="false">Allocation!$C$35</f>
        <v>73000</v>
      </c>
      <c r="G130" s="44" t="n">
        <f aca="false">IFERROR(IF(ISNUMBER(F130),F130-E130,"n/a"),"n/a")</f>
        <v>0</v>
      </c>
      <c r="H130" s="54" t="n">
        <v>0.005000001</v>
      </c>
      <c r="I130" s="52" t="str">
        <f aca="false">IFERROR(IF(ISNUMBER(F130),IF(ABS(F130-E130)&lt;=H130,"PASS","FAIL"),"FAIL"),"FAIL")</f>
        <v>PASS</v>
      </c>
    </row>
    <row r="131" customFormat="false" ht="15" hidden="false" customHeight="false" outlineLevel="0" collapsed="false">
      <c r="B131" s="28" t="n">
        <v>122</v>
      </c>
      <c r="C131" s="9" t="s">
        <v>475</v>
      </c>
      <c r="D131" s="9" t="s">
        <v>559</v>
      </c>
      <c r="E131" s="55" t="n">
        <v>52000</v>
      </c>
      <c r="F131" s="43" t="n">
        <f aca="false">Allocation!$C$36</f>
        <v>52000</v>
      </c>
      <c r="G131" s="44" t="n">
        <f aca="false">IFERROR(IF(ISNUMBER(F131),F131-E131,"n/a"),"n/a")</f>
        <v>0</v>
      </c>
      <c r="H131" s="54" t="n">
        <v>0.500000001</v>
      </c>
      <c r="I131" s="52" t="str">
        <f aca="false">IFERROR(IF(ISNUMBER(F131),IF(ABS(F131-E131)&lt;=H131,"PASS","FAIL"),"FAIL"),"FAIL")</f>
        <v>PASS</v>
      </c>
    </row>
    <row r="132" customFormat="false" ht="15" hidden="false" customHeight="false" outlineLevel="0" collapsed="false">
      <c r="B132" s="28" t="n">
        <v>123</v>
      </c>
      <c r="C132" s="9" t="s">
        <v>475</v>
      </c>
      <c r="D132" s="9" t="s">
        <v>560</v>
      </c>
      <c r="E132" s="12" t="n">
        <v>0.2</v>
      </c>
      <c r="F132" s="17" t="n">
        <f aca="false">Allocation!$C$37</f>
        <v>0.2</v>
      </c>
      <c r="G132" s="44" t="n">
        <f aca="false">IFERROR(IF(ISNUMBER(F132),F132-E132,"n/a"),"n/a")</f>
        <v>0</v>
      </c>
      <c r="H132" s="54" t="n">
        <v>0.005000001</v>
      </c>
      <c r="I132" s="52" t="str">
        <f aca="false">IFERROR(IF(ISNUMBER(F132),IF(ABS(F132-E132)&lt;=H132,"PASS","FAIL"),"FAIL"),"FAIL")</f>
        <v>PASS</v>
      </c>
    </row>
    <row r="133" customFormat="false" ht="15" hidden="false" customHeight="false" outlineLevel="0" collapsed="false">
      <c r="B133" s="28" t="n">
        <v>124</v>
      </c>
      <c r="C133" s="9" t="s">
        <v>475</v>
      </c>
      <c r="D133" s="9" t="s">
        <v>561</v>
      </c>
      <c r="E133" s="55" t="n">
        <v>11750</v>
      </c>
      <c r="F133" s="43" t="n">
        <f aca="false">Allocation!$C$38</f>
        <v>11750</v>
      </c>
      <c r="G133" s="44" t="n">
        <f aca="false">IFERROR(IF(ISNUMBER(F133),F133-E133,"n/a"),"n/a")</f>
        <v>0</v>
      </c>
      <c r="H133" s="54" t="n">
        <v>0.500000001</v>
      </c>
      <c r="I133" s="52" t="str">
        <f aca="false">IFERROR(IF(ISNUMBER(F133),IF(ABS(F133-E133)&lt;=H133,"PASS","FAIL"),"FAIL"),"FAIL")</f>
        <v>PASS</v>
      </c>
    </row>
    <row r="134" customFormat="false" ht="15" hidden="false" customHeight="false" outlineLevel="0" collapsed="false">
      <c r="B134" s="28" t="n">
        <v>125</v>
      </c>
      <c r="C134" s="9" t="s">
        <v>475</v>
      </c>
      <c r="D134" s="9" t="s">
        <v>562</v>
      </c>
      <c r="E134" s="10" t="n">
        <v>0.0235</v>
      </c>
      <c r="F134" s="53" t="n">
        <f aca="false">Allocation!$C$39</f>
        <v>0.0235</v>
      </c>
      <c r="G134" s="44" t="n">
        <f aca="false">IFERROR(IF(ISNUMBER(F134),F134-E134,"n/a"),"n/a")</f>
        <v>0</v>
      </c>
      <c r="H134" s="54" t="n">
        <v>5.0001E-005</v>
      </c>
      <c r="I134" s="52" t="str">
        <f aca="false">IFERROR(IF(ISNUMBER(F134),IF(ABS(F134-E134)&lt;=H134,"PASS","FAIL"),"FAIL"),"FAIL")</f>
        <v>PASS</v>
      </c>
    </row>
    <row r="135" customFormat="false" ht="15" hidden="false" customHeight="true" outlineLevel="0" collapsed="false">
      <c r="B135" s="28" t="n">
        <v>126</v>
      </c>
      <c r="C135" s="9" t="s">
        <v>475</v>
      </c>
      <c r="D135" s="58" t="s">
        <v>563</v>
      </c>
      <c r="E135" s="47" t="s">
        <v>531</v>
      </c>
      <c r="F135" s="59" t="str">
        <f aca="false">IFERROR(IF(AND(Allocation!$E$21=MAX(Allocation!$E$6:$E$22),Allocation!$E$16=MIN(Allocation!$E$6:$E$22)),"holds","does not hold"),"error")</f>
        <v>holds</v>
      </c>
      <c r="G135" s="9"/>
      <c r="H135" s="9"/>
      <c r="I135" s="52" t="str">
        <f aca="false">IFERROR(IF(AND(Allocation!$E$21=MAX(Allocation!$E$6:$E$22),Allocation!$E$16=MIN(Allocation!$E$6:$E$22)),"PASS","FAIL"),"FAIL")</f>
        <v>PASS</v>
      </c>
    </row>
    <row r="136" customFormat="false" ht="15" hidden="false" customHeight="true" outlineLevel="0" collapsed="false">
      <c r="B136" s="28" t="n">
        <v>127</v>
      </c>
      <c r="C136" s="9" t="s">
        <v>129</v>
      </c>
      <c r="D136" s="58" t="s">
        <v>564</v>
      </c>
      <c r="E136" s="47" t="s">
        <v>531</v>
      </c>
      <c r="F136" s="59" t="str">
        <f aca="false">IFERROR(IF(SUMPRODUCT(ABS(Base!I129:Y129-(Base!I123:Y123+Base!I124:Y124+Base!I125:Y125+Base!I126:Y126+Base!I127:Y127+Base!I128:Y128)))&lt;0.000001,"holds","does not hold"),"error")</f>
        <v>holds</v>
      </c>
      <c r="G136" s="9"/>
      <c r="H136" s="9"/>
      <c r="I136" s="52" t="str">
        <f aca="false">IFERROR(IF(SUMPRODUCT(ABS(Base!I129:Y129-(Base!I123:Y123+Base!I124:Y124+Base!I125:Y125+Base!I126:Y126+Base!I127:Y127+Base!I128:Y128)))&lt;0.000001,"PASS","FAIL"),"FAIL")</f>
        <v>PASS</v>
      </c>
    </row>
    <row r="137" customFormat="false" ht="15" hidden="false" customHeight="true" outlineLevel="0" collapsed="false">
      <c r="B137" s="28" t="n">
        <v>128</v>
      </c>
      <c r="C137" s="9" t="s">
        <v>129</v>
      </c>
      <c r="D137" s="58" t="s">
        <v>565</v>
      </c>
      <c r="E137" s="47" t="s">
        <v>531</v>
      </c>
      <c r="F137" s="59" t="str">
        <f aca="false">IFERROR(IF(SUMPRODUCT(--ISNUMBER(Base!$H$105:$H$121))=17,"holds","does not hold"),"error")</f>
        <v>holds</v>
      </c>
      <c r="G137" s="9"/>
      <c r="H137" s="9"/>
      <c r="I137" s="52" t="str">
        <f aca="false">IFERROR(IF(SUMPRODUCT(--ISNUMBER(Base!$H$105:$H$121))=17,"PASS","FAIL"),"FAIL")</f>
        <v>PASS</v>
      </c>
    </row>
    <row r="138" customFormat="false" ht="30" hidden="false" customHeight="true" outlineLevel="0" collapsed="false">
      <c r="B138" s="28" t="n">
        <v>129</v>
      </c>
      <c r="C138" s="9" t="s">
        <v>566</v>
      </c>
      <c r="D138" s="58" t="s">
        <v>567</v>
      </c>
      <c r="E138" s="47" t="s">
        <v>531</v>
      </c>
      <c r="F138" s="59" t="str">
        <f aca="false">IFERROR(IF(SUMPRODUCT(ABS(Rates_Up_2!I129:Y129-(Rates_Up_2!I123:Y123+Rates_Up_2!I124:Y124+Rates_Up_2!I125:Y125+Rates_Up_2!I126:Y126+Rates_Up_2!I127:Y127+Rates_Up_2!I128:Y128)))&lt;0.000001,"holds","does not hold"),"error")</f>
        <v>holds</v>
      </c>
      <c r="G138" s="9"/>
      <c r="H138" s="9"/>
      <c r="I138" s="52" t="str">
        <f aca="false">IFERROR(IF(SUMPRODUCT(ABS(Rates_Up_2!I129:Y129-(Rates_Up_2!I123:Y123+Rates_Up_2!I124:Y124+Rates_Up_2!I125:Y125+Rates_Up_2!I126:Y126+Rates_Up_2!I127:Y127+Rates_Up_2!I128:Y128)))&lt;0.000001,"PASS","FAIL"),"FAIL")</f>
        <v>PASS</v>
      </c>
    </row>
    <row r="139" customFormat="false" ht="15" hidden="false" customHeight="true" outlineLevel="0" collapsed="false">
      <c r="B139" s="28" t="n">
        <v>130</v>
      </c>
      <c r="C139" s="9" t="s">
        <v>566</v>
      </c>
      <c r="D139" s="58" t="s">
        <v>568</v>
      </c>
      <c r="E139" s="47" t="s">
        <v>531</v>
      </c>
      <c r="F139" s="59" t="str">
        <f aca="false">IFERROR(IF(SUMPRODUCT(--ISNUMBER(Rates_Up_2!$H$105:$H$121))=17,"holds","does not hold"),"error")</f>
        <v>holds</v>
      </c>
      <c r="G139" s="9"/>
      <c r="H139" s="9"/>
      <c r="I139" s="52" t="str">
        <f aca="false">IFERROR(IF(SUMPRODUCT(--ISNUMBER(Rates_Up_2!$H$105:$H$121))=17,"PASS","FAIL"),"FAIL")</f>
        <v>PASS</v>
      </c>
    </row>
    <row r="140" customFormat="false" ht="15" hidden="false" customHeight="true" outlineLevel="0" collapsed="false">
      <c r="B140" s="28" t="n">
        <v>131</v>
      </c>
      <c r="C140" s="9" t="s">
        <v>131</v>
      </c>
      <c r="D140" s="58" t="s">
        <v>569</v>
      </c>
      <c r="E140" s="47" t="s">
        <v>531</v>
      </c>
      <c r="F140" s="59" t="str">
        <f aca="false">IFERROR(IF(SUMPRODUCT(ABS(Recession!I129:Y129-(Recession!I123:Y123+Recession!I124:Y124+Recession!I125:Y125+Recession!I126:Y126+Recession!I127:Y127+Recession!I128:Y128)))&lt;0.000001,"holds","does not hold"),"error")</f>
        <v>holds</v>
      </c>
      <c r="G140" s="9"/>
      <c r="H140" s="9"/>
      <c r="I140" s="52" t="str">
        <f aca="false">IFERROR(IF(SUMPRODUCT(ABS(Recession!I129:Y129-(Recession!I123:Y123+Recession!I124:Y124+Recession!I125:Y125+Recession!I126:Y126+Recession!I127:Y127+Recession!I128:Y128)))&lt;0.000001,"PASS","FAIL"),"FAIL")</f>
        <v>PASS</v>
      </c>
    </row>
    <row r="141" customFormat="false" ht="15" hidden="false" customHeight="true" outlineLevel="0" collapsed="false">
      <c r="B141" s="28" t="n">
        <v>132</v>
      </c>
      <c r="C141" s="9" t="s">
        <v>131</v>
      </c>
      <c r="D141" s="58" t="s">
        <v>570</v>
      </c>
      <c r="E141" s="47" t="s">
        <v>531</v>
      </c>
      <c r="F141" s="59" t="str">
        <f aca="false">IFERROR(IF(SUMPRODUCT(--ISNUMBER(Recession!$H$105:$H$121))=17,"holds","does not hold"),"error")</f>
        <v>holds</v>
      </c>
      <c r="G141" s="9"/>
      <c r="H141" s="9"/>
      <c r="I141" s="52" t="str">
        <f aca="false">IFERROR(IF(SUMPRODUCT(--ISNUMBER(Recession!$H$105:$H$121))=17,"PASS","FAIL"),"FAIL")</f>
        <v>PASS</v>
      </c>
    </row>
    <row r="142" customFormat="false" ht="30" hidden="false" customHeight="true" outlineLevel="0" collapsed="false">
      <c r="B142" s="28" t="n">
        <v>133</v>
      </c>
      <c r="C142" s="9" t="s">
        <v>571</v>
      </c>
      <c r="D142" s="58" t="s">
        <v>572</v>
      </c>
      <c r="E142" s="47" t="s">
        <v>531</v>
      </c>
      <c r="F142" s="59" t="str">
        <f aca="false">IFERROR(IF(SUMPRODUCT(ABS(Combined!I129:Y129-(Combined!I123:Y123+Combined!I124:Y124+Combined!I125:Y125+Combined!I126:Y126+Combined!I127:Y127+Combined!I128:Y128)))&lt;0.000001,"holds","does not hold"),"error")</f>
        <v>holds</v>
      </c>
      <c r="G142" s="9"/>
      <c r="H142" s="9"/>
      <c r="I142" s="52" t="str">
        <f aca="false">IFERROR(IF(SUMPRODUCT(ABS(Combined!I129:Y129-(Combined!I123:Y123+Combined!I124:Y124+Combined!I125:Y125+Combined!I126:Y126+Combined!I127:Y127+Combined!I128:Y128)))&lt;0.000001,"PASS","FAIL"),"FAIL")</f>
        <v>PASS</v>
      </c>
    </row>
    <row r="143" customFormat="false" ht="15" hidden="false" customHeight="true" outlineLevel="0" collapsed="false">
      <c r="B143" s="28" t="n">
        <v>134</v>
      </c>
      <c r="C143" s="9" t="s">
        <v>571</v>
      </c>
      <c r="D143" s="58" t="s">
        <v>573</v>
      </c>
      <c r="E143" s="47" t="s">
        <v>531</v>
      </c>
      <c r="F143" s="59" t="str">
        <f aca="false">IFERROR(IF(SUMPRODUCT(--ISNUMBER(Combined!$H$105:$H$121))=17,"holds","does not hold"),"error")</f>
        <v>holds</v>
      </c>
      <c r="G143" s="9"/>
      <c r="H143" s="9"/>
      <c r="I143" s="52" t="str">
        <f aca="false">IFERROR(IF(SUMPRODUCT(--ISNUMBER(Combined!$H$105:$H$121))=17,"PASS","FAIL"),"FAIL")</f>
        <v>PASS</v>
      </c>
    </row>
    <row r="144" customFormat="false" ht="15" hidden="false" customHeight="true" outlineLevel="0" collapsed="false">
      <c r="B144" s="28" t="n">
        <v>135</v>
      </c>
      <c r="C144" s="9" t="s">
        <v>574</v>
      </c>
      <c r="D144" s="58" t="s">
        <v>575</v>
      </c>
      <c r="E144" s="47" t="s">
        <v>531</v>
      </c>
      <c r="F144" s="59" t="str">
        <f aca="false">IFERROR(IF(SUMPRODUCT(ABS(Gate_Only!I129:Y129-(Gate_Only!I123:Y123+Gate_Only!I124:Y124+Gate_Only!I125:Y125+Gate_Only!I126:Y126+Gate_Only!I127:Y127+Gate_Only!I128:Y128)))&lt;0.000001,"holds","does not hold"),"error")</f>
        <v>holds</v>
      </c>
      <c r="G144" s="9"/>
      <c r="H144" s="9"/>
      <c r="I144" s="52" t="str">
        <f aca="false">IFERROR(IF(SUMPRODUCT(ABS(Gate_Only!I129:Y129-(Gate_Only!I123:Y123+Gate_Only!I124:Y124+Gate_Only!I125:Y125+Gate_Only!I126:Y126+Gate_Only!I127:Y127+Gate_Only!I128:Y128)))&lt;0.000001,"PASS","FAIL"),"FAIL")</f>
        <v>PASS</v>
      </c>
    </row>
    <row r="145" customFormat="false" ht="15" hidden="false" customHeight="true" outlineLevel="0" collapsed="false">
      <c r="B145" s="28" t="n">
        <v>136</v>
      </c>
      <c r="C145" s="9" t="s">
        <v>574</v>
      </c>
      <c r="D145" s="58" t="s">
        <v>576</v>
      </c>
      <c r="E145" s="47" t="s">
        <v>531</v>
      </c>
      <c r="F145" s="59" t="str">
        <f aca="false">IFERROR(IF(SUMPRODUCT(--ISNUMBER(Gate_Only!$H$105:$H$121))=17,"holds","does not hold"),"error")</f>
        <v>holds</v>
      </c>
      <c r="G145" s="9"/>
      <c r="H145" s="9"/>
      <c r="I145" s="52" t="str">
        <f aca="false">IFERROR(IF(SUMPRODUCT(--ISNUMBER(Gate_Only!$H$105:$H$121))=17,"PASS","FAIL"),"FAIL")</f>
        <v>PASS</v>
      </c>
    </row>
    <row r="146" customFormat="false" ht="15" hidden="false" customHeight="true" outlineLevel="0" collapsed="false">
      <c r="B146" s="28" t="n">
        <v>137</v>
      </c>
      <c r="C146" s="9" t="s">
        <v>577</v>
      </c>
      <c r="D146" s="58" t="s">
        <v>578</v>
      </c>
      <c r="E146" s="47" t="s">
        <v>531</v>
      </c>
      <c r="F146" s="59" t="str">
        <f aca="false">IFERROR(IF(SUMPRODUCT(ABS(No_Default!I129:Y129-(No_Default!I123:Y123+No_Default!I124:Y124+No_Default!I125:Y125+No_Default!I126:Y126+No_Default!I127:Y127+No_Default!I128:Y128)))&lt;0.000001,"holds","does not hold"),"error")</f>
        <v>holds</v>
      </c>
      <c r="G146" s="9"/>
      <c r="H146" s="9"/>
      <c r="I146" s="52" t="str">
        <f aca="false">IFERROR(IF(SUMPRODUCT(ABS(No_Default!I129:Y129-(No_Default!I123:Y123+No_Default!I124:Y124+No_Default!I125:Y125+No_Default!I126:Y126+No_Default!I127:Y127+No_Default!I128:Y128)))&lt;0.000001,"PASS","FAIL"),"FAIL")</f>
        <v>PASS</v>
      </c>
    </row>
    <row r="147" customFormat="false" ht="15" hidden="false" customHeight="true" outlineLevel="0" collapsed="false">
      <c r="B147" s="28" t="n">
        <v>138</v>
      </c>
      <c r="C147" s="9" t="s">
        <v>577</v>
      </c>
      <c r="D147" s="58" t="s">
        <v>579</v>
      </c>
      <c r="E147" s="47" t="s">
        <v>531</v>
      </c>
      <c r="F147" s="59" t="str">
        <f aca="false">IFERROR(IF(SUMPRODUCT(--ISNUMBER(No_Default!$H$105:$H$121))=17,"holds","does not hold"),"error")</f>
        <v>holds</v>
      </c>
      <c r="G147" s="9"/>
      <c r="H147" s="9"/>
      <c r="I147" s="52" t="str">
        <f aca="false">IFERROR(IF(SUMPRODUCT(--ISNUMBER(No_Default!$H$105:$H$121))=17,"PASS","FAIL"),"FAIL")</f>
        <v>PASS</v>
      </c>
    </row>
    <row r="148" customFormat="false" ht="30" hidden="false" customHeight="true" outlineLevel="0" collapsed="false">
      <c r="B148" s="28" t="n">
        <v>139</v>
      </c>
      <c r="C148" s="9" t="s">
        <v>580</v>
      </c>
      <c r="D148" s="58" t="s">
        <v>581</v>
      </c>
      <c r="E148" s="47" t="s">
        <v>531</v>
      </c>
      <c r="F148" s="59" t="str">
        <f aca="false">IFERROR(IF(SUMPRODUCT(ABS(Corlett_Minus_35!I129:Y129-(Corlett_Minus_35!I123:Y123+Corlett_Minus_35!I124:Y124+Corlett_Minus_35!I125:Y125+Corlett_Minus_35!I126:Y126+Corlett_Minus_35!I127:Y127+Corlett_Minus_35!I128:Y128)))&lt;0.000001,"holds","does not hold"),"error")</f>
        <v>holds</v>
      </c>
      <c r="G148" s="9"/>
      <c r="H148" s="9"/>
      <c r="I148" s="52" t="str">
        <f aca="false">IFERROR(IF(SUMPRODUCT(ABS(Corlett_Minus_35!I129:Y129-(Corlett_Minus_35!I123:Y123+Corlett_Minus_35!I124:Y124+Corlett_Minus_35!I125:Y125+Corlett_Minus_35!I126:Y126+Corlett_Minus_35!I127:Y127+Corlett_Minus_35!I128:Y128)))&lt;0.000001,"PASS","FAIL"),"FAIL")</f>
        <v>PASS</v>
      </c>
    </row>
    <row r="149" customFormat="false" ht="15" hidden="false" customHeight="true" outlineLevel="0" collapsed="false">
      <c r="B149" s="28" t="n">
        <v>140</v>
      </c>
      <c r="C149" s="9" t="s">
        <v>580</v>
      </c>
      <c r="D149" s="58" t="s">
        <v>582</v>
      </c>
      <c r="E149" s="47" t="s">
        <v>531</v>
      </c>
      <c r="F149" s="59" t="str">
        <f aca="false">IFERROR(IF(SUMPRODUCT(--ISNUMBER(Corlett_Minus_35!$H$105:$H$121))=17,"holds","does not hold"),"error")</f>
        <v>holds</v>
      </c>
      <c r="G149" s="9"/>
      <c r="H149" s="9"/>
      <c r="I149" s="52" t="str">
        <f aca="false">IFERROR(IF(SUMPRODUCT(--ISNUMBER(Corlett_Minus_35!$H$105:$H$121))=17,"PASS","FAIL"),"FAIL")</f>
        <v>PASS</v>
      </c>
    </row>
    <row r="150" customFormat="false" ht="15" hidden="false" customHeight="false" outlineLevel="0" collapsed="false">
      <c r="B150" s="28" t="n">
        <v>141</v>
      </c>
      <c r="C150" s="9" t="s">
        <v>583</v>
      </c>
      <c r="D150" s="9" t="s">
        <v>584</v>
      </c>
      <c r="E150" s="55" t="n">
        <v>-500000</v>
      </c>
      <c r="F150" s="43" t="n">
        <f aca="false">Base_Quarterly!$C$6</f>
        <v>-500000</v>
      </c>
      <c r="G150" s="44" t="n">
        <f aca="false">IFERROR(IF(ISNUMBER(F150),F150-E150,"n/a"),"n/a")</f>
        <v>0</v>
      </c>
      <c r="H150" s="54" t="n">
        <v>0.500000001</v>
      </c>
      <c r="I150" s="52" t="str">
        <f aca="false">IFERROR(IF(ISNUMBER(F150),IF(ABS(F150-E150)&lt;=H150,"PASS","FAIL"),"FAIL"),"FAIL")</f>
        <v>PASS</v>
      </c>
    </row>
    <row r="151" customFormat="false" ht="15" hidden="false" customHeight="false" outlineLevel="0" collapsed="false">
      <c r="B151" s="28" t="n">
        <v>142</v>
      </c>
      <c r="C151" s="9" t="s">
        <v>583</v>
      </c>
      <c r="D151" s="9" t="s">
        <v>585</v>
      </c>
      <c r="E151" s="55" t="n">
        <v>-500000</v>
      </c>
      <c r="F151" s="43" t="n">
        <f aca="false">Base_Quarterly!$D$6</f>
        <v>-500000</v>
      </c>
      <c r="G151" s="44" t="n">
        <f aca="false">IFERROR(IF(ISNUMBER(F151),F151-E151,"n/a"),"n/a")</f>
        <v>0</v>
      </c>
      <c r="H151" s="54" t="n">
        <v>0.500000001</v>
      </c>
      <c r="I151" s="52" t="str">
        <f aca="false">IFERROR(IF(ISNUMBER(F151),IF(ABS(F151-E151)&lt;=H151,"PASS","FAIL"),"FAIL"),"FAIL")</f>
        <v>PASS</v>
      </c>
    </row>
    <row r="152" customFormat="false" ht="15" hidden="false" customHeight="false" outlineLevel="0" collapsed="false">
      <c r="B152" s="28" t="n">
        <v>143</v>
      </c>
      <c r="C152" s="9" t="s">
        <v>583</v>
      </c>
      <c r="D152" s="9" t="s">
        <v>586</v>
      </c>
      <c r="E152" s="55" t="n">
        <v>6232</v>
      </c>
      <c r="F152" s="43" t="n">
        <f aca="false">Base_Quarterly!$C$7</f>
        <v>6231.78728070176</v>
      </c>
      <c r="G152" s="44" t="n">
        <f aca="false">IFERROR(IF(ISNUMBER(F152),F152-E152,"n/a"),"n/a")</f>
        <v>-0.212719298245247</v>
      </c>
      <c r="H152" s="54" t="n">
        <v>0.500000001</v>
      </c>
      <c r="I152" s="52" t="str">
        <f aca="false">IFERROR(IF(ISNUMBER(F152),IF(ABS(F152-E152)&lt;=H152,"PASS","FAIL"),"FAIL"),"FAIL")</f>
        <v>PASS</v>
      </c>
    </row>
    <row r="153" customFormat="false" ht="15" hidden="false" customHeight="false" outlineLevel="0" collapsed="false">
      <c r="B153" s="28" t="n">
        <v>144</v>
      </c>
      <c r="C153" s="9" t="s">
        <v>583</v>
      </c>
      <c r="D153" s="9" t="s">
        <v>587</v>
      </c>
      <c r="E153" s="55" t="n">
        <v>-493768</v>
      </c>
      <c r="F153" s="43" t="n">
        <f aca="false">Base_Quarterly!$D$7</f>
        <v>-493768.212719298</v>
      </c>
      <c r="G153" s="44" t="n">
        <f aca="false">IFERROR(IF(ISNUMBER(F153),F153-E153,"n/a"),"n/a")</f>
        <v>-0.212719298258889</v>
      </c>
      <c r="H153" s="54" t="n">
        <v>0.500000001</v>
      </c>
      <c r="I153" s="52" t="str">
        <f aca="false">IFERROR(IF(ISNUMBER(F153),IF(ABS(F153-E153)&lt;=H153,"PASS","FAIL"),"FAIL"),"FAIL")</f>
        <v>PASS</v>
      </c>
    </row>
    <row r="154" customFormat="false" ht="15" hidden="false" customHeight="false" outlineLevel="0" collapsed="false">
      <c r="B154" s="28" t="n">
        <v>145</v>
      </c>
      <c r="C154" s="9" t="s">
        <v>583</v>
      </c>
      <c r="D154" s="9" t="s">
        <v>588</v>
      </c>
      <c r="E154" s="55" t="n">
        <v>12247</v>
      </c>
      <c r="F154" s="43" t="n">
        <f aca="false">Base_Quarterly!$C$8</f>
        <v>12247.2642338268</v>
      </c>
      <c r="G154" s="44" t="n">
        <f aca="false">IFERROR(IF(ISNUMBER(F154),F154-E154,"n/a"),"n/a")</f>
        <v>0.264233826754207</v>
      </c>
      <c r="H154" s="54" t="n">
        <v>0.500000001</v>
      </c>
      <c r="I154" s="52" t="str">
        <f aca="false">IFERROR(IF(ISNUMBER(F154),IF(ABS(F154-E154)&lt;=H154,"PASS","FAIL"),"FAIL"),"FAIL")</f>
        <v>PASS</v>
      </c>
    </row>
    <row r="155" customFormat="false" ht="15" hidden="false" customHeight="false" outlineLevel="0" collapsed="false">
      <c r="B155" s="28" t="n">
        <v>146</v>
      </c>
      <c r="C155" s="9" t="s">
        <v>583</v>
      </c>
      <c r="D155" s="9" t="s">
        <v>589</v>
      </c>
      <c r="E155" s="55" t="n">
        <v>-481521</v>
      </c>
      <c r="F155" s="43" t="n">
        <f aca="false">Base_Quarterly!$D$8</f>
        <v>-481520.948485472</v>
      </c>
      <c r="G155" s="44" t="n">
        <f aca="false">IFERROR(IF(ISNUMBER(F155),F155-E155,"n/a"),"n/a")</f>
        <v>0.0515145285171457</v>
      </c>
      <c r="H155" s="54" t="n">
        <v>0.500000001</v>
      </c>
      <c r="I155" s="52" t="str">
        <f aca="false">IFERROR(IF(ISNUMBER(F155),IF(ABS(F155-E155)&lt;=H155,"PASS","FAIL"),"FAIL"),"FAIL")</f>
        <v>PASS</v>
      </c>
    </row>
    <row r="156" customFormat="false" ht="15" hidden="false" customHeight="false" outlineLevel="0" collapsed="false">
      <c r="B156" s="28" t="n">
        <v>147</v>
      </c>
      <c r="C156" s="9" t="s">
        <v>583</v>
      </c>
      <c r="D156" s="9" t="s">
        <v>590</v>
      </c>
      <c r="E156" s="55" t="n">
        <v>6225</v>
      </c>
      <c r="F156" s="43" t="n">
        <f aca="false">Base_Quarterly!$C$9</f>
        <v>6225.2497786998</v>
      </c>
      <c r="G156" s="44" t="n">
        <f aca="false">IFERROR(IF(ISNUMBER(F156),F156-E156,"n/a"),"n/a")</f>
        <v>0.249778699801936</v>
      </c>
      <c r="H156" s="54" t="n">
        <v>0.500000001</v>
      </c>
      <c r="I156" s="52" t="str">
        <f aca="false">IFERROR(IF(ISNUMBER(F156),IF(ABS(F156-E156)&lt;=H156,"PASS","FAIL"),"FAIL"),"FAIL")</f>
        <v>PASS</v>
      </c>
    </row>
    <row r="157" customFormat="false" ht="15" hidden="false" customHeight="false" outlineLevel="0" collapsed="false">
      <c r="B157" s="28" t="n">
        <v>148</v>
      </c>
      <c r="C157" s="9" t="s">
        <v>583</v>
      </c>
      <c r="D157" s="9" t="s">
        <v>591</v>
      </c>
      <c r="E157" s="55" t="n">
        <v>-475296</v>
      </c>
      <c r="F157" s="43" t="n">
        <f aca="false">Base_Quarterly!$D$9</f>
        <v>-475295.698706772</v>
      </c>
      <c r="G157" s="44" t="n">
        <f aca="false">IFERROR(IF(ISNUMBER(F157),F157-E157,"n/a"),"n/a")</f>
        <v>0.301293228345457</v>
      </c>
      <c r="H157" s="54" t="n">
        <v>0.500000001</v>
      </c>
      <c r="I157" s="52" t="str">
        <f aca="false">IFERROR(IF(ISNUMBER(F157),IF(ABS(F157-E157)&lt;=H157,"PASS","FAIL"),"FAIL"),"FAIL")</f>
        <v>PASS</v>
      </c>
    </row>
    <row r="158" customFormat="false" ht="15" hidden="false" customHeight="false" outlineLevel="0" collapsed="false">
      <c r="B158" s="28" t="n">
        <v>149</v>
      </c>
      <c r="C158" s="9" t="s">
        <v>583</v>
      </c>
      <c r="D158" s="9" t="s">
        <v>592</v>
      </c>
      <c r="E158" s="55" t="n">
        <v>12241</v>
      </c>
      <c r="F158" s="43" t="n">
        <f aca="false">Base_Quarterly!$C$10</f>
        <v>12240.7438927676</v>
      </c>
      <c r="G158" s="44" t="n">
        <f aca="false">IFERROR(IF(ISNUMBER(F158),F158-E158,"n/a"),"n/a")</f>
        <v>-0.256107232442446</v>
      </c>
      <c r="H158" s="54" t="n">
        <v>0.500000001</v>
      </c>
      <c r="I158" s="52" t="str">
        <f aca="false">IFERROR(IF(ISNUMBER(F158),IF(ABS(F158-E158)&lt;=H158,"PASS","FAIL"),"FAIL"),"FAIL")</f>
        <v>PASS</v>
      </c>
    </row>
    <row r="159" customFormat="false" ht="15" hidden="false" customHeight="false" outlineLevel="0" collapsed="false">
      <c r="B159" s="28" t="n">
        <v>150</v>
      </c>
      <c r="C159" s="9" t="s">
        <v>583</v>
      </c>
      <c r="D159" s="9" t="s">
        <v>593</v>
      </c>
      <c r="E159" s="55" t="n">
        <v>-463055</v>
      </c>
      <c r="F159" s="43" t="n">
        <f aca="false">Base_Quarterly!$D$10</f>
        <v>-463054.954814004</v>
      </c>
      <c r="G159" s="44" t="n">
        <f aca="false">IFERROR(IF(ISNUMBER(F159),F159-E159,"n/a"),"n/a")</f>
        <v>0.0451859958702698</v>
      </c>
      <c r="H159" s="54" t="n">
        <v>0.500000001</v>
      </c>
      <c r="I159" s="52" t="str">
        <f aca="false">IFERROR(IF(ISNUMBER(F159),IF(ABS(F159-E159)&lt;=H159,"PASS","FAIL"),"FAIL"),"FAIL")</f>
        <v>PASS</v>
      </c>
    </row>
    <row r="160" customFormat="false" ht="15" hidden="false" customHeight="false" outlineLevel="0" collapsed="false">
      <c r="B160" s="28" t="n">
        <v>151</v>
      </c>
      <c r="C160" s="9" t="s">
        <v>583</v>
      </c>
      <c r="D160" s="9" t="s">
        <v>594</v>
      </c>
      <c r="E160" s="55" t="n">
        <v>6219</v>
      </c>
      <c r="F160" s="43" t="n">
        <f aca="false">Base_Quarterly!$C$11</f>
        <v>6218.74655353588</v>
      </c>
      <c r="G160" s="44" t="n">
        <f aca="false">IFERROR(IF(ISNUMBER(F160),F160-E160,"n/a"),"n/a")</f>
        <v>-0.253446464115768</v>
      </c>
      <c r="H160" s="54" t="n">
        <v>0.500000001</v>
      </c>
      <c r="I160" s="52" t="str">
        <f aca="false">IFERROR(IF(ISNUMBER(F160),IF(ABS(F160-E160)&lt;=H160,"PASS","FAIL"),"FAIL"),"FAIL")</f>
        <v>PASS</v>
      </c>
    </row>
    <row r="161" customFormat="false" ht="15" hidden="false" customHeight="false" outlineLevel="0" collapsed="false">
      <c r="B161" s="28" t="n">
        <v>152</v>
      </c>
      <c r="C161" s="9" t="s">
        <v>583</v>
      </c>
      <c r="D161" s="9" t="s">
        <v>595</v>
      </c>
      <c r="E161" s="55" t="n">
        <v>-456836</v>
      </c>
      <c r="F161" s="43" t="n">
        <f aca="false">Base_Quarterly!$D$11</f>
        <v>-456836.208260468</v>
      </c>
      <c r="G161" s="44" t="n">
        <f aca="false">IFERROR(IF(ISNUMBER(F161),F161-E161,"n/a"),"n/a")</f>
        <v>-0.208260468265507</v>
      </c>
      <c r="H161" s="54" t="n">
        <v>0.500000001</v>
      </c>
      <c r="I161" s="52" t="str">
        <f aca="false">IFERROR(IF(ISNUMBER(F161),IF(ABS(F161-E161)&lt;=H161,"PASS","FAIL"),"FAIL"),"FAIL")</f>
        <v>PASS</v>
      </c>
    </row>
    <row r="162" customFormat="false" ht="15" hidden="false" customHeight="false" outlineLevel="0" collapsed="false">
      <c r="B162" s="28" t="n">
        <v>153</v>
      </c>
      <c r="C162" s="9" t="s">
        <v>583</v>
      </c>
      <c r="D162" s="9" t="s">
        <v>596</v>
      </c>
      <c r="E162" s="55" t="n">
        <v>11481</v>
      </c>
      <c r="F162" s="43" t="n">
        <f aca="false">Base_Quarterly!$C$12</f>
        <v>11480.7855163475</v>
      </c>
      <c r="G162" s="44" t="n">
        <f aca="false">IFERROR(IF(ISNUMBER(F162),F162-E162,"n/a"),"n/a")</f>
        <v>-0.214483652527633</v>
      </c>
      <c r="H162" s="54" t="n">
        <v>0.500000001</v>
      </c>
      <c r="I162" s="52" t="str">
        <f aca="false">IFERROR(IF(ISNUMBER(F162),IF(ABS(F162-E162)&lt;=H162,"PASS","FAIL"),"FAIL"),"FAIL")</f>
        <v>PASS</v>
      </c>
    </row>
    <row r="163" customFormat="false" ht="15" hidden="false" customHeight="false" outlineLevel="0" collapsed="false">
      <c r="B163" s="28" t="n">
        <v>154</v>
      </c>
      <c r="C163" s="9" t="s">
        <v>583</v>
      </c>
      <c r="D163" s="9" t="s">
        <v>597</v>
      </c>
      <c r="E163" s="55" t="n">
        <v>-445355</v>
      </c>
      <c r="F163" s="43" t="n">
        <f aca="false">Base_Quarterly!$D$12</f>
        <v>-445355.422744121</v>
      </c>
      <c r="G163" s="44" t="n">
        <f aca="false">IFERROR(IF(ISNUMBER(F163),F163-E163,"n/a"),"n/a")</f>
        <v>-0.422744120820425</v>
      </c>
      <c r="H163" s="54" t="n">
        <v>0.500000001</v>
      </c>
      <c r="I163" s="52" t="str">
        <f aca="false">IFERROR(IF(ISNUMBER(F163),IF(ABS(F163-E163)&lt;=H163,"PASS","FAIL"),"FAIL"),"FAIL")</f>
        <v>PASS</v>
      </c>
    </row>
    <row r="164" customFormat="false" ht="15" hidden="false" customHeight="false" outlineLevel="0" collapsed="false">
      <c r="B164" s="28" t="n">
        <v>155</v>
      </c>
      <c r="C164" s="9" t="s">
        <v>583</v>
      </c>
      <c r="D164" s="9" t="s">
        <v>598</v>
      </c>
      <c r="E164" s="55" t="n">
        <v>5990</v>
      </c>
      <c r="F164" s="43" t="n">
        <f aca="false">Base_Quarterly!$C$13</f>
        <v>5990.05520327057</v>
      </c>
      <c r="G164" s="44" t="n">
        <f aca="false">IFERROR(IF(ISNUMBER(F164),F164-E164,"n/a"),"n/a")</f>
        <v>0.055203270569109</v>
      </c>
      <c r="H164" s="54" t="n">
        <v>0.500000001</v>
      </c>
      <c r="I164" s="52" t="str">
        <f aca="false">IFERROR(IF(ISNUMBER(F164),IF(ABS(F164-E164)&lt;=H164,"PASS","FAIL"),"FAIL"),"FAIL")</f>
        <v>PASS</v>
      </c>
    </row>
    <row r="165" customFormat="false" ht="15" hidden="false" customHeight="false" outlineLevel="0" collapsed="false">
      <c r="B165" s="28" t="n">
        <v>156</v>
      </c>
      <c r="C165" s="9" t="s">
        <v>583</v>
      </c>
      <c r="D165" s="9" t="s">
        <v>599</v>
      </c>
      <c r="E165" s="55" t="n">
        <v>-439365</v>
      </c>
      <c r="F165" s="43" t="n">
        <f aca="false">Base_Quarterly!$D$13</f>
        <v>-439365.36754085</v>
      </c>
      <c r="G165" s="44" t="n">
        <f aca="false">IFERROR(IF(ISNUMBER(F165),F165-E165,"n/a"),"n/a")</f>
        <v>-0.367540850187652</v>
      </c>
      <c r="H165" s="54" t="n">
        <v>0.500000001</v>
      </c>
      <c r="I165" s="52" t="str">
        <f aca="false">IFERROR(IF(ISNUMBER(F165),IF(ABS(F165-E165)&lt;=H165,"PASS","FAIL"),"FAIL"),"FAIL")</f>
        <v>PASS</v>
      </c>
    </row>
    <row r="166" customFormat="false" ht="15" hidden="false" customHeight="false" outlineLevel="0" collapsed="false">
      <c r="B166" s="28" t="n">
        <v>157</v>
      </c>
      <c r="C166" s="9" t="s">
        <v>583</v>
      </c>
      <c r="D166" s="9" t="s">
        <v>600</v>
      </c>
      <c r="E166" s="55" t="n">
        <v>36474</v>
      </c>
      <c r="F166" s="43" t="n">
        <f aca="false">Base_Quarterly!$C$14</f>
        <v>36474.3333697655</v>
      </c>
      <c r="G166" s="44" t="n">
        <f aca="false">IFERROR(IF(ISNUMBER(F166),F166-E166,"n/a"),"n/a")</f>
        <v>0.333369765496173</v>
      </c>
      <c r="H166" s="54" t="n">
        <v>0.500000001</v>
      </c>
      <c r="I166" s="52" t="str">
        <f aca="false">IFERROR(IF(ISNUMBER(F166),IF(ABS(F166-E166)&lt;=H166,"PASS","FAIL"),"FAIL"),"FAIL")</f>
        <v>PASS</v>
      </c>
    </row>
    <row r="167" customFormat="false" ht="15" hidden="false" customHeight="false" outlineLevel="0" collapsed="false">
      <c r="B167" s="28" t="n">
        <v>158</v>
      </c>
      <c r="C167" s="9" t="s">
        <v>583</v>
      </c>
      <c r="D167" s="9" t="s">
        <v>601</v>
      </c>
      <c r="E167" s="55" t="n">
        <v>-402891</v>
      </c>
      <c r="F167" s="43" t="n">
        <f aca="false">Base_Quarterly!$D$14</f>
        <v>-402891.034171085</v>
      </c>
      <c r="G167" s="44" t="n">
        <f aca="false">IFERROR(IF(ISNUMBER(F167),F167-E167,"n/a"),"n/a")</f>
        <v>-0.0341710846987553</v>
      </c>
      <c r="H167" s="54" t="n">
        <v>0.500000001</v>
      </c>
      <c r="I167" s="52" t="str">
        <f aca="false">IFERROR(IF(ISNUMBER(F167),IF(ABS(F167-E167)&lt;=H167,"PASS","FAIL"),"FAIL"),"FAIL")</f>
        <v>PASS</v>
      </c>
    </row>
    <row r="168" customFormat="false" ht="15" hidden="false" customHeight="false" outlineLevel="0" collapsed="false">
      <c r="B168" s="28" t="n">
        <v>159</v>
      </c>
      <c r="C168" s="9" t="s">
        <v>583</v>
      </c>
      <c r="D168" s="9" t="s">
        <v>602</v>
      </c>
      <c r="E168" s="55" t="n">
        <v>5984</v>
      </c>
      <c r="F168" s="43" t="n">
        <f aca="false">Base_Quarterly!$C$15</f>
        <v>5983.61999357337</v>
      </c>
      <c r="G168" s="44" t="n">
        <f aca="false">IFERROR(IF(ISNUMBER(F168),F168-E168,"n/a"),"n/a")</f>
        <v>-0.380006426633372</v>
      </c>
      <c r="H168" s="54" t="n">
        <v>0.500000001</v>
      </c>
      <c r="I168" s="52" t="str">
        <f aca="false">IFERROR(IF(ISNUMBER(F168),IF(ABS(F168-E168)&lt;=H168,"PASS","FAIL"),"FAIL"),"FAIL")</f>
        <v>PASS</v>
      </c>
    </row>
    <row r="169" customFormat="false" ht="15" hidden="false" customHeight="false" outlineLevel="0" collapsed="false">
      <c r="B169" s="28" t="n">
        <v>160</v>
      </c>
      <c r="C169" s="9" t="s">
        <v>583</v>
      </c>
      <c r="D169" s="9" t="s">
        <v>603</v>
      </c>
      <c r="E169" s="55" t="n">
        <v>-396907</v>
      </c>
      <c r="F169" s="43" t="n">
        <f aca="false">Base_Quarterly!$D$15</f>
        <v>-396907.414177511</v>
      </c>
      <c r="G169" s="44" t="n">
        <f aca="false">IFERROR(IF(ISNUMBER(F169),F169-E169,"n/a"),"n/a")</f>
        <v>-0.414177511353046</v>
      </c>
      <c r="H169" s="54" t="n">
        <v>0.500000001</v>
      </c>
      <c r="I169" s="52" t="str">
        <f aca="false">IFERROR(IF(ISNUMBER(F169),IF(ABS(F169-E169)&lt;=H169,"PASS","FAIL"),"FAIL"),"FAIL")</f>
        <v>PASS</v>
      </c>
    </row>
    <row r="170" customFormat="false" ht="15" hidden="false" customHeight="false" outlineLevel="0" collapsed="false">
      <c r="B170" s="28" t="n">
        <v>161</v>
      </c>
      <c r="C170" s="9" t="s">
        <v>583</v>
      </c>
      <c r="D170" s="9" t="s">
        <v>604</v>
      </c>
      <c r="E170" s="55" t="n">
        <v>15868</v>
      </c>
      <c r="F170" s="43" t="n">
        <f aca="false">Base_Quarterly!$C$16</f>
        <v>15867.9150524937</v>
      </c>
      <c r="G170" s="44" t="n">
        <f aca="false">IFERROR(IF(ISNUMBER(F170),F170-E170,"n/a"),"n/a")</f>
        <v>-0.0849475062550482</v>
      </c>
      <c r="H170" s="54" t="n">
        <v>0.500000001</v>
      </c>
      <c r="I170" s="52" t="str">
        <f aca="false">IFERROR(IF(ISNUMBER(F170),IF(ABS(F170-E170)&lt;=H170,"PASS","FAIL"),"FAIL"),"FAIL")</f>
        <v>PASS</v>
      </c>
    </row>
    <row r="171" customFormat="false" ht="15" hidden="false" customHeight="false" outlineLevel="0" collapsed="false">
      <c r="B171" s="28" t="n">
        <v>162</v>
      </c>
      <c r="C171" s="9" t="s">
        <v>583</v>
      </c>
      <c r="D171" s="9" t="s">
        <v>605</v>
      </c>
      <c r="E171" s="55" t="n">
        <v>-381039</v>
      </c>
      <c r="F171" s="43" t="n">
        <f aca="false">Base_Quarterly!$D$16</f>
        <v>-381039.499125018</v>
      </c>
      <c r="G171" s="44" t="n">
        <f aca="false">IFERROR(IF(ISNUMBER(F171),F171-E171,"n/a"),"n/a")</f>
        <v>-0.499125017609913</v>
      </c>
      <c r="H171" s="54" t="n">
        <v>0.500000001</v>
      </c>
      <c r="I171" s="52" t="str">
        <f aca="false">IFERROR(IF(ISNUMBER(F171),IF(ABS(F171-E171)&lt;=H171,"PASS","FAIL"),"FAIL"),"FAIL")</f>
        <v>PASS</v>
      </c>
    </row>
    <row r="172" customFormat="false" ht="15" hidden="false" customHeight="false" outlineLevel="0" collapsed="false">
      <c r="B172" s="28" t="n">
        <v>163</v>
      </c>
      <c r="C172" s="9" t="s">
        <v>583</v>
      </c>
      <c r="D172" s="9" t="s">
        <v>606</v>
      </c>
      <c r="E172" s="55" t="n">
        <v>5977</v>
      </c>
      <c r="F172" s="43" t="n">
        <f aca="false">Base_Quarterly!$C$17</f>
        <v>5977.21852438446</v>
      </c>
      <c r="G172" s="44" t="n">
        <f aca="false">IFERROR(IF(ISNUMBER(F172),F172-E172,"n/a"),"n/a")</f>
        <v>0.21852438445876</v>
      </c>
      <c r="H172" s="54" t="n">
        <v>0.500000001</v>
      </c>
      <c r="I172" s="52" t="str">
        <f aca="false">IFERROR(IF(ISNUMBER(F172),IF(ABS(F172-E172)&lt;=H172,"PASS","FAIL"),"FAIL"),"FAIL")</f>
        <v>PASS</v>
      </c>
    </row>
    <row r="173" customFormat="false" ht="15" hidden="false" customHeight="false" outlineLevel="0" collapsed="false">
      <c r="B173" s="28" t="n">
        <v>164</v>
      </c>
      <c r="C173" s="9" t="s">
        <v>583</v>
      </c>
      <c r="D173" s="9" t="s">
        <v>607</v>
      </c>
      <c r="E173" s="55" t="n">
        <v>-375062</v>
      </c>
      <c r="F173" s="43" t="n">
        <f aca="false">Base_Quarterly!$D$17</f>
        <v>-375062.280600633</v>
      </c>
      <c r="G173" s="44" t="n">
        <f aca="false">IFERROR(IF(ISNUMBER(F173),F173-E173,"n/a"),"n/a")</f>
        <v>-0.280600633122958</v>
      </c>
      <c r="H173" s="54" t="n">
        <v>0.500000001</v>
      </c>
      <c r="I173" s="52" t="str">
        <f aca="false">IFERROR(IF(ISNUMBER(F173),IF(ABS(F173-E173)&lt;=H173,"PASS","FAIL"),"FAIL"),"FAIL")</f>
        <v>PASS</v>
      </c>
    </row>
    <row r="174" customFormat="false" ht="15" hidden="false" customHeight="false" outlineLevel="0" collapsed="false">
      <c r="B174" s="28" t="n">
        <v>165</v>
      </c>
      <c r="C174" s="9" t="s">
        <v>583</v>
      </c>
      <c r="D174" s="9" t="s">
        <v>608</v>
      </c>
      <c r="E174" s="55" t="n">
        <v>460321</v>
      </c>
      <c r="F174" s="43" t="n">
        <f aca="false">Base_Quarterly!$C$18</f>
        <v>460321.407164778</v>
      </c>
      <c r="G174" s="44" t="n">
        <f aca="false">IFERROR(IF(ISNUMBER(F174),F174-E174,"n/a"),"n/a")</f>
        <v>0.407164777629077</v>
      </c>
      <c r="H174" s="54" t="n">
        <v>0.500000001</v>
      </c>
      <c r="I174" s="52" t="str">
        <f aca="false">IFERROR(IF(ISNUMBER(F174),IF(ABS(F174-E174)&lt;=H174,"PASS","FAIL"),"FAIL"),"FAIL")</f>
        <v>PASS</v>
      </c>
    </row>
    <row r="175" customFormat="false" ht="15" hidden="false" customHeight="false" outlineLevel="0" collapsed="false">
      <c r="B175" s="28" t="n">
        <v>166</v>
      </c>
      <c r="C175" s="9" t="s">
        <v>583</v>
      </c>
      <c r="D175" s="9" t="s">
        <v>609</v>
      </c>
      <c r="E175" s="55" t="n">
        <v>85259</v>
      </c>
      <c r="F175" s="43" t="n">
        <f aca="false">Base_Quarterly!$D$18</f>
        <v>85259.1265641445</v>
      </c>
      <c r="G175" s="44" t="n">
        <f aca="false">IFERROR(IF(ISNUMBER(F175),F175-E175,"n/a"),"n/a")</f>
        <v>0.126564144506119</v>
      </c>
      <c r="H175" s="54" t="n">
        <v>0.500000001</v>
      </c>
      <c r="I175" s="52" t="str">
        <f aca="false">IFERROR(IF(ISNUMBER(F175),IF(ABS(F175-E175)&lt;=H175,"PASS","FAIL"),"FAIL"),"FAIL")</f>
        <v>PASS</v>
      </c>
    </row>
    <row r="176" customFormat="false" ht="15" hidden="false" customHeight="false" outlineLevel="0" collapsed="false">
      <c r="B176" s="28" t="n">
        <v>167</v>
      </c>
      <c r="C176" s="9" t="s">
        <v>583</v>
      </c>
      <c r="D176" s="9" t="s">
        <v>610</v>
      </c>
      <c r="E176" s="55" t="n">
        <v>460321</v>
      </c>
      <c r="F176" s="43" t="n">
        <f aca="false">Base_Quarterly!$C$18</f>
        <v>460321.407164778</v>
      </c>
      <c r="G176" s="44" t="n">
        <f aca="false">IFERROR(IF(ISNUMBER(F176),F176-E176,"n/a"),"n/a")</f>
        <v>0.407164777629077</v>
      </c>
      <c r="H176" s="54" t="n">
        <v>0.500000001</v>
      </c>
      <c r="I176" s="52" t="str">
        <f aca="false">IFERROR(IF(ISNUMBER(F176),IF(ABS(F176-E176)&lt;=H176,"PASS","FAIL"),"FAIL"),"FAIL")</f>
        <v>PASS</v>
      </c>
    </row>
    <row r="177" customFormat="false" ht="15" hidden="false" customHeight="false" outlineLevel="0" collapsed="false">
      <c r="B177" s="28" t="n">
        <v>168</v>
      </c>
      <c r="C177" s="9" t="s">
        <v>583</v>
      </c>
      <c r="D177" s="9" t="s">
        <v>611</v>
      </c>
      <c r="E177" s="55" t="n">
        <v>124938</v>
      </c>
      <c r="F177" s="43" t="n">
        <f aca="false">Base_Quarterly!$C$20</f>
        <v>124937.719399367</v>
      </c>
      <c r="G177" s="44" t="n">
        <f aca="false">IFERROR(IF(ISNUMBER(F177),F177-E177,"n/a"),"n/a")</f>
        <v>-0.28060063313751</v>
      </c>
      <c r="H177" s="54" t="n">
        <v>0.500000001</v>
      </c>
      <c r="I177" s="52" t="str">
        <f aca="false">IFERROR(IF(ISNUMBER(F177),IF(ABS(F177-E177)&lt;=H177,"PASS","FAIL"),"FAIL"),"FAIL")</f>
        <v>PASS</v>
      </c>
    </row>
    <row r="178" customFormat="false" ht="15" hidden="false" customHeight="false" outlineLevel="0" collapsed="false">
      <c r="B178" s="28" t="n">
        <v>169</v>
      </c>
      <c r="C178" s="9" t="s">
        <v>583</v>
      </c>
      <c r="D178" s="9" t="s">
        <v>612</v>
      </c>
      <c r="E178" s="55" t="n">
        <v>85259</v>
      </c>
      <c r="F178" s="43" t="n">
        <f aca="false">Base_Quarterly!$C$21</f>
        <v>85259.1265641445</v>
      </c>
      <c r="G178" s="44" t="n">
        <f aca="false">IFERROR(IF(ISNUMBER(F178),F178-E178,"n/a"),"n/a")</f>
        <v>0.126564144506119</v>
      </c>
      <c r="H178" s="54" t="n">
        <v>0.500000001</v>
      </c>
      <c r="I178" s="52" t="str">
        <f aca="false">IFERROR(IF(ISNUMBER(F178),IF(ABS(F178-E178)&lt;=H178,"PASS","FAIL"),"FAIL"),"FAIL")</f>
        <v>PASS</v>
      </c>
    </row>
    <row r="179" customFormat="false" ht="15" hidden="false" customHeight="false" outlineLevel="0" collapsed="false">
      <c r="B179" s="28" t="n">
        <v>170</v>
      </c>
      <c r="C179" s="9" t="s">
        <v>583</v>
      </c>
      <c r="D179" s="9" t="s">
        <v>613</v>
      </c>
      <c r="E179" s="10" t="n">
        <v>0.0602</v>
      </c>
      <c r="F179" s="53" t="n">
        <f aca="false">Base_Quarterly!$C$22</f>
        <v>0.0602132863026841</v>
      </c>
      <c r="G179" s="44" t="n">
        <f aca="false">IFERROR(IF(ISNUMBER(F179),F179-E179,"n/a"),"n/a")</f>
        <v>1.32863026840804E-005</v>
      </c>
      <c r="H179" s="54" t="n">
        <v>5.0001E-005</v>
      </c>
      <c r="I179" s="52" t="str">
        <f aca="false">IFERROR(IF(ISNUMBER(F179),IF(ABS(F179-E179)&lt;=H179,"PASS","FAIL"),"FAIL"),"FAIL")</f>
        <v>PASS</v>
      </c>
    </row>
    <row r="180" customFormat="false" ht="15" hidden="false" customHeight="false" outlineLevel="0" collapsed="false">
      <c r="B180" s="28" t="n">
        <v>171</v>
      </c>
      <c r="C180" s="9" t="s">
        <v>583</v>
      </c>
      <c r="D180" s="9" t="s">
        <v>614</v>
      </c>
      <c r="E180" s="10" t="n">
        <v>0.0746</v>
      </c>
      <c r="F180" s="53" t="n">
        <f aca="false">Base_Quarterly!$C$23</f>
        <v>0.0745839170334103</v>
      </c>
      <c r="G180" s="44" t="n">
        <f aca="false">IFERROR(IF(ISNUMBER(F180),F180-E180,"n/a"),"n/a")</f>
        <v>-1.608296658967E-005</v>
      </c>
      <c r="H180" s="54" t="n">
        <v>5.0001E-005</v>
      </c>
      <c r="I180" s="52" t="str">
        <f aca="false">IFERROR(IF(ISNUMBER(F180),IF(ABS(F180-E180)&lt;=H180,"PASS","FAIL"),"FAIL"),"FAIL")</f>
        <v>PASS</v>
      </c>
    </row>
    <row r="181" customFormat="false" ht="15" hidden="false" customHeight="false" outlineLevel="0" collapsed="false">
      <c r="B181" s="28" t="n">
        <v>172</v>
      </c>
      <c r="C181" s="9" t="s">
        <v>583</v>
      </c>
      <c r="D181" s="9" t="s">
        <v>615</v>
      </c>
      <c r="E181" s="10" t="n">
        <v>0.0768</v>
      </c>
      <c r="F181" s="53" t="n">
        <f aca="false">Base_Quarterly!$C$24</f>
        <v>0.0767512297137313</v>
      </c>
      <c r="G181" s="44" t="n">
        <f aca="false">IFERROR(IF(ISNUMBER(F181),F181-E181,"n/a"),"n/a")</f>
        <v>-4.87702862686651E-005</v>
      </c>
      <c r="H181" s="54" t="n">
        <v>5.0001E-005</v>
      </c>
      <c r="I181" s="52" t="str">
        <f aca="false">IFERROR(IF(ISNUMBER(F181),IF(ABS(F181-E181)&lt;=H181,"PASS","FAIL"),"FAIL"),"FAIL")</f>
        <v>PASS</v>
      </c>
    </row>
    <row r="182" customFormat="false" ht="15" hidden="false" customHeight="false" outlineLevel="0" collapsed="false">
      <c r="B182" s="28" t="n">
        <v>173</v>
      </c>
      <c r="C182" s="9" t="s">
        <v>583</v>
      </c>
      <c r="D182" s="9" t="s">
        <v>616</v>
      </c>
      <c r="E182" s="10" t="n">
        <v>0.0631</v>
      </c>
      <c r="F182" s="53" t="n">
        <f aca="false">Base_Quarterly!$C$25</f>
        <v>0.0630794384024579</v>
      </c>
      <c r="G182" s="44" t="n">
        <f aca="false">IFERROR(IF(ISNUMBER(F182),F182-E182,"n/a"),"n/a")</f>
        <v>-2.05615975420459E-005</v>
      </c>
      <c r="H182" s="54" t="n">
        <v>5.0001E-005</v>
      </c>
      <c r="I182" s="52" t="str">
        <f aca="false">IFERROR(IF(ISNUMBER(F182),IF(ABS(F182-E182)&lt;=H182,"PASS","FAIL"),"FAIL"),"FAIL")</f>
        <v>PASS</v>
      </c>
    </row>
    <row r="183" customFormat="false" ht="15" hidden="false" customHeight="false" outlineLevel="0" collapsed="false">
      <c r="B183" s="28" t="n">
        <v>174</v>
      </c>
      <c r="C183" s="9" t="s">
        <v>583</v>
      </c>
      <c r="D183" s="9" t="s">
        <v>617</v>
      </c>
      <c r="E183" s="10" t="n">
        <v>0.0663</v>
      </c>
      <c r="F183" s="53" t="n">
        <f aca="false">Base_Quarterly!$C$26</f>
        <v>0.0663005813654269</v>
      </c>
      <c r="G183" s="44" t="n">
        <f aca="false">IFERROR(IF(ISNUMBER(F183),F183-E183,"n/a"),"n/a")</f>
        <v>5.81365426938207E-007</v>
      </c>
      <c r="H183" s="54" t="n">
        <v>5.0001E-005</v>
      </c>
      <c r="I183" s="52" t="str">
        <f aca="false">IFERROR(IF(ISNUMBER(F183),IF(ABS(F183-E183)&lt;=H183,"PASS","FAIL"),"FAIL"),"FAIL")</f>
        <v>PASS</v>
      </c>
    </row>
    <row r="184" customFormat="false" ht="15" hidden="false" customHeight="false" outlineLevel="0" collapsed="false">
      <c r="B184" s="28" t="n">
        <v>175</v>
      </c>
      <c r="C184" s="9" t="s">
        <v>583</v>
      </c>
      <c r="D184" s="9" t="s">
        <v>618</v>
      </c>
      <c r="E184" s="18" t="n">
        <v>5000</v>
      </c>
      <c r="F184" s="46" t="n">
        <f aca="false">Base_Quarterly!$C$27</f>
        <v>5000</v>
      </c>
      <c r="G184" s="44" t="n">
        <f aca="false">IFERROR(IF(ISNUMBER(F184),F184-E184,"n/a"),"n/a")</f>
        <v>0</v>
      </c>
      <c r="H184" s="54" t="n">
        <v>0.005000001</v>
      </c>
      <c r="I184" s="52" t="str">
        <f aca="false">IFERROR(IF(ISNUMBER(F184),IF(ABS(F184-E184)&lt;=H184,"PASS","FAIL"),"FAIL"),"FAIL")</f>
        <v>PASS</v>
      </c>
    </row>
    <row r="185" customFormat="false" ht="15" hidden="false" customHeight="false" outlineLevel="0" collapsed="false">
      <c r="B185" s="28" t="n">
        <v>176</v>
      </c>
      <c r="C185" s="9" t="s">
        <v>583</v>
      </c>
      <c r="D185" s="9" t="s">
        <v>619</v>
      </c>
      <c r="E185" s="55" t="n">
        <v>-5688</v>
      </c>
      <c r="F185" s="43" t="n">
        <f aca="false">Base_Quarterly!$C$28</f>
        <v>-5687.5</v>
      </c>
      <c r="G185" s="44" t="n">
        <f aca="false">IFERROR(IF(ISNUMBER(F185),F185-E185,"n/a"),"n/a")</f>
        <v>0.5</v>
      </c>
      <c r="H185" s="54" t="n">
        <v>0.500000001</v>
      </c>
      <c r="I185" s="52" t="str">
        <f aca="false">IFERROR(IF(ISNUMBER(F185),IF(ABS(F185-E185)&lt;=H185,"PASS","FAIL"),"FAIL"),"FAIL")</f>
        <v>PASS</v>
      </c>
    </row>
    <row r="186" customFormat="false" ht="15" hidden="false" customHeight="false" outlineLevel="0" collapsed="false">
      <c r="B186" s="28" t="n">
        <v>177</v>
      </c>
      <c r="C186" s="9" t="s">
        <v>583</v>
      </c>
      <c r="D186" s="9" t="s">
        <v>620</v>
      </c>
      <c r="E186" s="55" t="n">
        <v>5000</v>
      </c>
      <c r="F186" s="43" t="n">
        <f aca="false">Base_Quarterly!$C$27</f>
        <v>5000</v>
      </c>
      <c r="G186" s="44" t="n">
        <f aca="false">IFERROR(IF(ISNUMBER(F186),F186-E186,"n/a"),"n/a")</f>
        <v>0</v>
      </c>
      <c r="H186" s="54" t="n">
        <v>0.500000001</v>
      </c>
      <c r="I186" s="52" t="str">
        <f aca="false">IFERROR(IF(ISNUMBER(F186),IF(ABS(F186-E186)&lt;=H186,"PASS","FAIL"),"FAIL"),"FAIL")</f>
        <v>PASS</v>
      </c>
    </row>
    <row r="187" customFormat="false" ht="15" hidden="false" customHeight="true" outlineLevel="0" collapsed="false">
      <c r="B187" s="28" t="n">
        <v>178</v>
      </c>
      <c r="C187" s="9" t="s">
        <v>583</v>
      </c>
      <c r="D187" s="58" t="s">
        <v>621</v>
      </c>
      <c r="E187" s="47" t="s">
        <v>531</v>
      </c>
      <c r="F187" s="59" t="str">
        <f aca="false">IFERROR(IF(SUMPRODUCT(ABS(Base!$V$129:$Y$129))&lt;0.000000001,"holds","does not hold"),"error")</f>
        <v>holds</v>
      </c>
      <c r="G187" s="9"/>
      <c r="H187" s="9"/>
      <c r="I187" s="52" t="str">
        <f aca="false">IFERROR(IF(SUMPRODUCT(ABS(Base!$V$129:$Y$129))&lt;0.000000001,"PASS","FAIL"),"FAIL")</f>
        <v>PASS</v>
      </c>
    </row>
    <row r="188" customFormat="false" ht="15" hidden="false" customHeight="true" outlineLevel="0" collapsed="false">
      <c r="B188" s="28" t="n">
        <v>179</v>
      </c>
      <c r="C188" s="9" t="s">
        <v>583</v>
      </c>
      <c r="D188" s="58" t="s">
        <v>622</v>
      </c>
      <c r="E188" s="47" t="s">
        <v>531</v>
      </c>
      <c r="F188" s="59" t="str">
        <f aca="false">IFERROR(IF(Base_Quarterly!$C$22&lt;Allocation!$G$23,"holds","does not hold"),"error")</f>
        <v>holds</v>
      </c>
      <c r="G188" s="9"/>
      <c r="H188" s="9"/>
      <c r="I188" s="52" t="str">
        <f aca="false">IFERROR(IF(Base_Quarterly!$C$22&lt;Allocation!$G$23,"PASS","FAIL"),"FAIL")</f>
        <v>PASS</v>
      </c>
    </row>
    <row r="189" customFormat="false" ht="15" hidden="false" customHeight="false" outlineLevel="0" collapsed="false">
      <c r="B189" s="28" t="n">
        <v>180</v>
      </c>
      <c r="C189" s="9" t="s">
        <v>623</v>
      </c>
      <c r="D189" s="9" t="s">
        <v>624</v>
      </c>
      <c r="E189" s="10" t="n">
        <v>0.048</v>
      </c>
      <c r="F189" s="53" t="n">
        <f aca="false">Review!$D$6</f>
        <v>0.048</v>
      </c>
      <c r="G189" s="44" t="n">
        <f aca="false">IFERROR(IF(ISNUMBER(F189),F189-E189,"n/a"),"n/a")</f>
        <v>0</v>
      </c>
      <c r="H189" s="54" t="n">
        <v>5.0001E-005</v>
      </c>
      <c r="I189" s="52" t="str">
        <f aca="false">IFERROR(IF(ISNUMBER(F189),IF(ABS(F189-E189)&lt;=H189,"PASS","FAIL"),"FAIL"),"FAIL")</f>
        <v>PASS</v>
      </c>
    </row>
    <row r="190" customFormat="false" ht="15" hidden="false" customHeight="false" outlineLevel="0" collapsed="false">
      <c r="B190" s="28" t="n">
        <v>181</v>
      </c>
      <c r="C190" s="9" t="s">
        <v>623</v>
      </c>
      <c r="D190" s="9" t="s">
        <v>625</v>
      </c>
      <c r="E190" s="55" t="n">
        <v>2400</v>
      </c>
      <c r="F190" s="43" t="n">
        <f aca="false">Review!$F$6</f>
        <v>2400</v>
      </c>
      <c r="G190" s="44" t="n">
        <f aca="false">IFERROR(IF(ISNUMBER(F190),F190-E190,"n/a"),"n/a")</f>
        <v>0</v>
      </c>
      <c r="H190" s="54" t="n">
        <v>0.500000001</v>
      </c>
      <c r="I190" s="52" t="str">
        <f aca="false">IFERROR(IF(ISNUMBER(F190),IF(ABS(F190-E190)&lt;=H190,"PASS","FAIL"),"FAIL"),"FAIL")</f>
        <v>PASS</v>
      </c>
    </row>
    <row r="191" customFormat="false" ht="15" hidden="false" customHeight="false" outlineLevel="0" collapsed="false">
      <c r="B191" s="28" t="n">
        <v>182</v>
      </c>
      <c r="C191" s="9" t="s">
        <v>623</v>
      </c>
      <c r="D191" s="9" t="s">
        <v>626</v>
      </c>
      <c r="E191" s="10" t="n">
        <v>0</v>
      </c>
      <c r="F191" s="53" t="n">
        <f aca="false">Review!$G$6</f>
        <v>-2.87999999999865E-005</v>
      </c>
      <c r="G191" s="44" t="n">
        <f aca="false">IFERROR(IF(ISNUMBER(F191),F191-E191,"n/a"),"n/a")</f>
        <v>-2.87999999999865E-005</v>
      </c>
      <c r="H191" s="54" t="n">
        <v>5.0001E-005</v>
      </c>
      <c r="I191" s="52" t="str">
        <f aca="false">IFERROR(IF(ISNUMBER(F191),IF(ABS(F191-E191)&lt;=H191,"PASS","FAIL"),"FAIL"),"FAIL")</f>
        <v>PASS</v>
      </c>
    </row>
    <row r="192" customFormat="false" ht="15" hidden="false" customHeight="false" outlineLevel="0" collapsed="false">
      <c r="B192" s="28" t="n">
        <v>183</v>
      </c>
      <c r="C192" s="9" t="s">
        <v>623</v>
      </c>
      <c r="D192" s="9" t="s">
        <v>627</v>
      </c>
      <c r="E192" s="10" t="n">
        <v>0.0486</v>
      </c>
      <c r="F192" s="53" t="n">
        <f aca="false">Review!$E$6</f>
        <v>0.0485759999999997</v>
      </c>
      <c r="G192" s="44" t="n">
        <f aca="false">IFERROR(IF(ISNUMBER(F192),F192-E192,"n/a"),"n/a")</f>
        <v>-2.40000000002669E-005</v>
      </c>
      <c r="H192" s="54" t="n">
        <v>5.0001E-005</v>
      </c>
      <c r="I192" s="52" t="str">
        <f aca="false">IFERROR(IF(ISNUMBER(F192),IF(ABS(F192-E192)&lt;=H192,"PASS","FAIL"),"FAIL"),"FAIL")</f>
        <v>PASS</v>
      </c>
    </row>
    <row r="193" customFormat="false" ht="15" hidden="false" customHeight="false" outlineLevel="0" collapsed="false">
      <c r="B193" s="28" t="n">
        <v>184</v>
      </c>
      <c r="C193" s="9" t="s">
        <v>623</v>
      </c>
      <c r="D193" s="9" t="s">
        <v>628</v>
      </c>
      <c r="E193" s="10" t="n">
        <v>0.0495</v>
      </c>
      <c r="F193" s="53" t="n">
        <f aca="false">Review!$D$7</f>
        <v>0.0495</v>
      </c>
      <c r="G193" s="44" t="n">
        <f aca="false">IFERROR(IF(ISNUMBER(F193),F193-E193,"n/a"),"n/a")</f>
        <v>0</v>
      </c>
      <c r="H193" s="54" t="n">
        <v>5.0001E-005</v>
      </c>
      <c r="I193" s="52" t="str">
        <f aca="false">IFERROR(IF(ISNUMBER(F193),IF(ABS(F193-E193)&lt;=H193,"PASS","FAIL"),"FAIL"),"FAIL")</f>
        <v>PASS</v>
      </c>
    </row>
    <row r="194" customFormat="false" ht="15" hidden="false" customHeight="false" outlineLevel="0" collapsed="false">
      <c r="B194" s="28" t="n">
        <v>185</v>
      </c>
      <c r="C194" s="9" t="s">
        <v>623</v>
      </c>
      <c r="D194" s="9" t="s">
        <v>629</v>
      </c>
      <c r="E194" s="55" t="n">
        <v>3713</v>
      </c>
      <c r="F194" s="43" t="n">
        <f aca="false">Review!$F$7</f>
        <v>3712.5</v>
      </c>
      <c r="G194" s="44" t="n">
        <f aca="false">IFERROR(IF(ISNUMBER(F194),F194-E194,"n/a"),"n/a")</f>
        <v>-0.5</v>
      </c>
      <c r="H194" s="54" t="n">
        <v>0.500000001</v>
      </c>
      <c r="I194" s="52" t="str">
        <f aca="false">IFERROR(IF(ISNUMBER(F194),IF(ABS(F194-E194)&lt;=H194,"PASS","FAIL"),"FAIL"),"FAIL")</f>
        <v>PASS</v>
      </c>
    </row>
    <row r="195" customFormat="false" ht="15" hidden="false" customHeight="false" outlineLevel="0" collapsed="false">
      <c r="B195" s="28" t="n">
        <v>186</v>
      </c>
      <c r="C195" s="9" t="s">
        <v>623</v>
      </c>
      <c r="D195" s="9" t="s">
        <v>630</v>
      </c>
      <c r="E195" s="10" t="n">
        <v>0</v>
      </c>
      <c r="F195" s="53" t="n">
        <f aca="false">Review!$G$7</f>
        <v>-3.06281249999367E-005</v>
      </c>
      <c r="G195" s="44" t="n">
        <f aca="false">IFERROR(IF(ISNUMBER(F195),F195-E195,"n/a"),"n/a")</f>
        <v>-3.06281249999367E-005</v>
      </c>
      <c r="H195" s="54" t="n">
        <v>5.0001E-005</v>
      </c>
      <c r="I195" s="52" t="str">
        <f aca="false">IFERROR(IF(ISNUMBER(F195),IF(ABS(F195-E195)&lt;=H195,"PASS","FAIL"),"FAIL"),"FAIL")</f>
        <v>PASS</v>
      </c>
    </row>
    <row r="196" customFormat="false" ht="15" hidden="false" customHeight="false" outlineLevel="0" collapsed="false">
      <c r="B196" s="28" t="n">
        <v>187</v>
      </c>
      <c r="C196" s="9" t="s">
        <v>623</v>
      </c>
      <c r="D196" s="9" t="s">
        <v>631</v>
      </c>
      <c r="E196" s="10" t="n">
        <v>0.0501</v>
      </c>
      <c r="F196" s="53" t="n">
        <f aca="false">Review!$E$7</f>
        <v>0.0501125624999987</v>
      </c>
      <c r="G196" s="44" t="n">
        <f aca="false">IFERROR(IF(ISNUMBER(F196),F196-E196,"n/a"),"n/a")</f>
        <v>1.25624999987375E-005</v>
      </c>
      <c r="H196" s="54" t="n">
        <v>5.0001E-005</v>
      </c>
      <c r="I196" s="52" t="str">
        <f aca="false">IFERROR(IF(ISNUMBER(F196),IF(ABS(F196-E196)&lt;=H196,"PASS","FAIL"),"FAIL"),"FAIL")</f>
        <v>PASS</v>
      </c>
    </row>
    <row r="197" customFormat="false" ht="15" hidden="false" customHeight="false" outlineLevel="0" collapsed="false">
      <c r="B197" s="28" t="n">
        <v>188</v>
      </c>
      <c r="C197" s="9" t="s">
        <v>623</v>
      </c>
      <c r="D197" s="9" t="s">
        <v>632</v>
      </c>
      <c r="E197" s="10" t="n">
        <v>0.0515</v>
      </c>
      <c r="F197" s="53" t="n">
        <f aca="false">Review!$D$8</f>
        <v>0.0515</v>
      </c>
      <c r="G197" s="44" t="n">
        <f aca="false">IFERROR(IF(ISNUMBER(F197),F197-E197,"n/a"),"n/a")</f>
        <v>0</v>
      </c>
      <c r="H197" s="54" t="n">
        <v>5.0001E-005</v>
      </c>
      <c r="I197" s="52" t="str">
        <f aca="false">IFERROR(IF(ISNUMBER(F197),IF(ABS(F197-E197)&lt;=H197,"PASS","FAIL"),"FAIL"),"FAIL")</f>
        <v>PASS</v>
      </c>
    </row>
    <row r="198" customFormat="false" ht="15" hidden="false" customHeight="false" outlineLevel="0" collapsed="false">
      <c r="B198" s="28" t="n">
        <v>189</v>
      </c>
      <c r="C198" s="9" t="s">
        <v>623</v>
      </c>
      <c r="D198" s="9" t="s">
        <v>633</v>
      </c>
      <c r="E198" s="55" t="n">
        <v>3863</v>
      </c>
      <c r="F198" s="43" t="n">
        <f aca="false">Review!$F$8</f>
        <v>3862.5</v>
      </c>
      <c r="G198" s="44" t="n">
        <f aca="false">IFERROR(IF(ISNUMBER(F198),F198-E198,"n/a"),"n/a")</f>
        <v>-0.5</v>
      </c>
      <c r="H198" s="54" t="n">
        <v>0.500000001</v>
      </c>
      <c r="I198" s="52" t="str">
        <f aca="false">IFERROR(IF(ISNUMBER(F198),IF(ABS(F198-E198)&lt;=H198,"PASS","FAIL"),"FAIL"),"FAIL")</f>
        <v>PASS</v>
      </c>
    </row>
    <row r="199" customFormat="false" ht="15" hidden="false" customHeight="false" outlineLevel="0" collapsed="false">
      <c r="B199" s="28" t="n">
        <v>190</v>
      </c>
      <c r="C199" s="9" t="s">
        <v>623</v>
      </c>
      <c r="D199" s="9" t="s">
        <v>634</v>
      </c>
      <c r="E199" s="10" t="n">
        <v>0</v>
      </c>
      <c r="F199" s="53" t="n">
        <f aca="false">Review!$G$8</f>
        <v>-3.31531249997234E-005</v>
      </c>
      <c r="G199" s="44" t="n">
        <f aca="false">IFERROR(IF(ISNUMBER(F199),F199-E199,"n/a"),"n/a")</f>
        <v>-3.31531249997234E-005</v>
      </c>
      <c r="H199" s="54" t="n">
        <v>5.0001E-005</v>
      </c>
      <c r="I199" s="52" t="str">
        <f aca="false">IFERROR(IF(ISNUMBER(F199),IF(ABS(F199-E199)&lt;=H199,"PASS","FAIL"),"FAIL"),"FAIL")</f>
        <v>PASS</v>
      </c>
    </row>
    <row r="200" customFormat="false" ht="15" hidden="false" customHeight="false" outlineLevel="0" collapsed="false">
      <c r="B200" s="28" t="n">
        <v>191</v>
      </c>
      <c r="C200" s="9" t="s">
        <v>623</v>
      </c>
      <c r="D200" s="9" t="s">
        <v>635</v>
      </c>
      <c r="E200" s="10" t="n">
        <v>0.0522</v>
      </c>
      <c r="F200" s="53" t="n">
        <f aca="false">Review!$E$8</f>
        <v>0.0521630624999945</v>
      </c>
      <c r="G200" s="44" t="n">
        <f aca="false">IFERROR(IF(ISNUMBER(F200),F200-E200,"n/a"),"n/a")</f>
        <v>-3.69375000055308E-005</v>
      </c>
      <c r="H200" s="54" t="n">
        <v>5.0001E-005</v>
      </c>
      <c r="I200" s="52" t="str">
        <f aca="false">IFERROR(IF(ISNUMBER(F200),IF(ABS(F200-E200)&lt;=H200,"PASS","FAIL"),"FAIL"),"FAIL")</f>
        <v>PASS</v>
      </c>
    </row>
    <row r="201" customFormat="false" ht="15" hidden="false" customHeight="false" outlineLevel="0" collapsed="false">
      <c r="B201" s="28" t="n">
        <v>192</v>
      </c>
      <c r="C201" s="9" t="s">
        <v>623</v>
      </c>
      <c r="D201" s="9" t="s">
        <v>636</v>
      </c>
      <c r="E201" s="10" t="n">
        <v>0.053</v>
      </c>
      <c r="F201" s="53" t="n">
        <f aca="false">Review!$D$9</f>
        <v>0.053</v>
      </c>
      <c r="G201" s="44" t="n">
        <f aca="false">IFERROR(IF(ISNUMBER(F201),F201-E201,"n/a"),"n/a")</f>
        <v>0</v>
      </c>
      <c r="H201" s="54" t="n">
        <v>5.0001E-005</v>
      </c>
      <c r="I201" s="52" t="str">
        <f aca="false">IFERROR(IF(ISNUMBER(F201),IF(ABS(F201-E201)&lt;=H201,"PASS","FAIL"),"FAIL"),"FAIL")</f>
        <v>PASS</v>
      </c>
    </row>
    <row r="202" customFormat="false" ht="15" hidden="false" customHeight="false" outlineLevel="0" collapsed="false">
      <c r="B202" s="28" t="n">
        <v>193</v>
      </c>
      <c r="C202" s="9" t="s">
        <v>623</v>
      </c>
      <c r="D202" s="9" t="s">
        <v>637</v>
      </c>
      <c r="E202" s="55" t="n">
        <v>3975</v>
      </c>
      <c r="F202" s="43" t="n">
        <f aca="false">Review!$F$9</f>
        <v>3975</v>
      </c>
      <c r="G202" s="44" t="n">
        <f aca="false">IFERROR(IF(ISNUMBER(F202),F202-E202,"n/a"),"n/a")</f>
        <v>0</v>
      </c>
      <c r="H202" s="54" t="n">
        <v>0.500000001</v>
      </c>
      <c r="I202" s="52" t="str">
        <f aca="false">IFERROR(IF(ISNUMBER(F202),IF(ABS(F202-E202)&lt;=H202,"PASS","FAIL"),"FAIL"),"FAIL")</f>
        <v>PASS</v>
      </c>
    </row>
    <row r="203" customFormat="false" ht="15" hidden="false" customHeight="false" outlineLevel="0" collapsed="false">
      <c r="B203" s="28" t="n">
        <v>194</v>
      </c>
      <c r="C203" s="9" t="s">
        <v>623</v>
      </c>
      <c r="D203" s="9" t="s">
        <v>638</v>
      </c>
      <c r="E203" s="10" t="n">
        <v>0</v>
      </c>
      <c r="F203" s="53" t="n">
        <f aca="false">Review!$G$9</f>
        <v>-3.51124999992316E-005</v>
      </c>
      <c r="G203" s="44" t="n">
        <f aca="false">IFERROR(IF(ISNUMBER(F203),F203-E203,"n/a"),"n/a")</f>
        <v>-3.51124999992316E-005</v>
      </c>
      <c r="H203" s="54" t="n">
        <v>5.0001E-005</v>
      </c>
      <c r="I203" s="52" t="str">
        <f aca="false">IFERROR(IF(ISNUMBER(F203),IF(ABS(F203-E203)&lt;=H203,"PASS","FAIL"),"FAIL"),"FAIL")</f>
        <v>PASS</v>
      </c>
    </row>
    <row r="204" customFormat="false" ht="15" hidden="false" customHeight="false" outlineLevel="0" collapsed="false">
      <c r="B204" s="28" t="n">
        <v>195</v>
      </c>
      <c r="C204" s="9" t="s">
        <v>623</v>
      </c>
      <c r="D204" s="9" t="s">
        <v>639</v>
      </c>
      <c r="E204" s="10" t="n">
        <v>0.0537</v>
      </c>
      <c r="F204" s="53" t="n">
        <f aca="false">Review!$E$9</f>
        <v>0.0537022499999846</v>
      </c>
      <c r="G204" s="44" t="n">
        <f aca="false">IFERROR(IF(ISNUMBER(F204),F204-E204,"n/a"),"n/a")</f>
        <v>2.2499999846326E-006</v>
      </c>
      <c r="H204" s="54" t="n">
        <v>5.0001E-005</v>
      </c>
      <c r="I204" s="52" t="str">
        <f aca="false">IFERROR(IF(ISNUMBER(F204),IF(ABS(F204-E204)&lt;=H204,"PASS","FAIL"),"FAIL"),"FAIL")</f>
        <v>PASS</v>
      </c>
    </row>
    <row r="205" customFormat="false" ht="15" hidden="false" customHeight="false" outlineLevel="0" collapsed="false">
      <c r="B205" s="28" t="n">
        <v>196</v>
      </c>
      <c r="C205" s="9" t="s">
        <v>623</v>
      </c>
      <c r="D205" s="9" t="s">
        <v>640</v>
      </c>
      <c r="E205" s="10" t="n">
        <v>0.0545</v>
      </c>
      <c r="F205" s="53" t="n">
        <f aca="false">Review!$D$10</f>
        <v>0.0545</v>
      </c>
      <c r="G205" s="44" t="n">
        <f aca="false">IFERROR(IF(ISNUMBER(F205),F205-E205,"n/a"),"n/a")</f>
        <v>0</v>
      </c>
      <c r="H205" s="54" t="n">
        <v>5.0001E-005</v>
      </c>
      <c r="I205" s="52" t="str">
        <f aca="false">IFERROR(IF(ISNUMBER(F205),IF(ABS(F205-E205)&lt;=H205,"PASS","FAIL"),"FAIL"),"FAIL")</f>
        <v>PASS</v>
      </c>
    </row>
    <row r="206" customFormat="false" ht="15" hidden="false" customHeight="false" outlineLevel="0" collapsed="false">
      <c r="B206" s="28" t="n">
        <v>197</v>
      </c>
      <c r="C206" s="9" t="s">
        <v>623</v>
      </c>
      <c r="D206" s="9" t="s">
        <v>641</v>
      </c>
      <c r="E206" s="55" t="n">
        <v>4088</v>
      </c>
      <c r="F206" s="43" t="n">
        <f aca="false">Review!$F$10</f>
        <v>4087.5</v>
      </c>
      <c r="G206" s="44" t="n">
        <f aca="false">IFERROR(IF(ISNUMBER(F206),F206-E206,"n/a"),"n/a")</f>
        <v>-0.5</v>
      </c>
      <c r="H206" s="54" t="n">
        <v>0.500000001</v>
      </c>
      <c r="I206" s="52" t="str">
        <f aca="false">IFERROR(IF(ISNUMBER(F206),IF(ABS(F206-E206)&lt;=H206,"PASS","FAIL"),"FAIL"),"FAIL")</f>
        <v>PASS</v>
      </c>
    </row>
    <row r="207" customFormat="false" ht="15" hidden="false" customHeight="false" outlineLevel="0" collapsed="false">
      <c r="B207" s="28" t="n">
        <v>198</v>
      </c>
      <c r="C207" s="9" t="s">
        <v>623</v>
      </c>
      <c r="D207" s="9" t="s">
        <v>642</v>
      </c>
      <c r="E207" s="10" t="n">
        <v>0</v>
      </c>
      <c r="F207" s="53" t="n">
        <f aca="false">Review!$G$10</f>
        <v>-3.71281249981866E-005</v>
      </c>
      <c r="G207" s="44" t="n">
        <f aca="false">IFERROR(IF(ISNUMBER(F207),F207-E207,"n/a"),"n/a")</f>
        <v>-3.71281249981866E-005</v>
      </c>
      <c r="H207" s="54" t="n">
        <v>5.0001E-005</v>
      </c>
      <c r="I207" s="52" t="str">
        <f aca="false">IFERROR(IF(ISNUMBER(F207),IF(ABS(F207-E207)&lt;=H207,"PASS","FAIL"),"FAIL"),"FAIL")</f>
        <v>PASS</v>
      </c>
    </row>
    <row r="208" customFormat="false" ht="15" hidden="false" customHeight="false" outlineLevel="0" collapsed="false">
      <c r="B208" s="28" t="n">
        <v>199</v>
      </c>
      <c r="C208" s="9" t="s">
        <v>623</v>
      </c>
      <c r="D208" s="9" t="s">
        <v>643</v>
      </c>
      <c r="E208" s="10" t="n">
        <v>0.0552</v>
      </c>
      <c r="F208" s="53" t="n">
        <f aca="false">Review!$E$10</f>
        <v>0.0552425624999637</v>
      </c>
      <c r="G208" s="44" t="n">
        <f aca="false">IFERROR(IF(ISNUMBER(F208),F208-E208,"n/a"),"n/a")</f>
        <v>4.25624999637331E-005</v>
      </c>
      <c r="H208" s="54" t="n">
        <v>5.0001E-005</v>
      </c>
      <c r="I208" s="52" t="str">
        <f aca="false">IFERROR(IF(ISNUMBER(F208),IF(ABS(F208-E208)&lt;=H208,"PASS","FAIL"),"FAIL"),"FAIL")</f>
        <v>PASS</v>
      </c>
    </row>
    <row r="209" customFormat="false" ht="15" hidden="false" customHeight="false" outlineLevel="0" collapsed="false">
      <c r="B209" s="28" t="n">
        <v>200</v>
      </c>
      <c r="C209" s="9" t="s">
        <v>623</v>
      </c>
      <c r="D209" s="9" t="s">
        <v>644</v>
      </c>
      <c r="E209" s="10" t="n">
        <v>0.0699</v>
      </c>
      <c r="F209" s="53" t="n">
        <f aca="false">Review!$D$11</f>
        <v>0.0699042470751673</v>
      </c>
      <c r="G209" s="44" t="n">
        <f aca="false">IFERROR(IF(ISNUMBER(F209),F209-E209,"n/a"),"n/a")</f>
        <v>4.2470751672602E-006</v>
      </c>
      <c r="H209" s="54" t="n">
        <v>5.0001E-005</v>
      </c>
      <c r="I209" s="52" t="str">
        <f aca="false">IFERROR(IF(ISNUMBER(F209),IF(ABS(F209-E209)&lt;=H209,"PASS","FAIL"),"FAIL"),"FAIL")</f>
        <v>PASS</v>
      </c>
    </row>
    <row r="210" customFormat="false" ht="15" hidden="false" customHeight="false" outlineLevel="0" collapsed="false">
      <c r="B210" s="28" t="n">
        <v>201</v>
      </c>
      <c r="C210" s="9" t="s">
        <v>623</v>
      </c>
      <c r="D210" s="9" t="s">
        <v>645</v>
      </c>
      <c r="E210" s="55" t="n">
        <v>2601</v>
      </c>
      <c r="F210" s="43" t="n">
        <f aca="false">Review!$F$11</f>
        <v>2601.05003922723</v>
      </c>
      <c r="G210" s="44" t="n">
        <f aca="false">IFERROR(IF(ISNUMBER(F210),F210-E210,"n/a"),"n/a")</f>
        <v>0.0500392272278987</v>
      </c>
      <c r="H210" s="54" t="n">
        <v>0.500000001</v>
      </c>
      <c r="I210" s="52" t="str">
        <f aca="false">IFERROR(IF(ISNUMBER(F210),IF(ABS(F210-E210)&lt;=H210,"PASS","FAIL"),"FAIL"),"FAIL")</f>
        <v>PASS</v>
      </c>
    </row>
    <row r="211" customFormat="false" ht="15" hidden="false" customHeight="false" outlineLevel="0" collapsed="false">
      <c r="B211" s="28" t="n">
        <v>202</v>
      </c>
      <c r="C211" s="9" t="s">
        <v>623</v>
      </c>
      <c r="D211" s="9" t="s">
        <v>646</v>
      </c>
      <c r="E211" s="10" t="n">
        <v>0</v>
      </c>
      <c r="F211" s="53" t="n">
        <f aca="false">Review!$G$11</f>
        <v>-3.02358607597232E-005</v>
      </c>
      <c r="G211" s="44" t="n">
        <f aca="false">IFERROR(IF(ISNUMBER(F211),F211-E211,"n/a"),"n/a")</f>
        <v>-3.02358607597232E-005</v>
      </c>
      <c r="H211" s="54" t="n">
        <v>5.0001E-005</v>
      </c>
      <c r="I211" s="52" t="str">
        <f aca="false">IFERROR(IF(ISNUMBER(F211),IF(ABS(F211-E211)&lt;=H211,"PASS","FAIL"),"FAIL"),"FAIL")</f>
        <v>PASS</v>
      </c>
    </row>
    <row r="212" customFormat="false" ht="15" hidden="false" customHeight="false" outlineLevel="0" collapsed="false">
      <c r="B212" s="28" t="n">
        <v>203</v>
      </c>
      <c r="C212" s="9" t="s">
        <v>623</v>
      </c>
      <c r="D212" s="9" t="s">
        <v>647</v>
      </c>
      <c r="E212" s="10" t="n">
        <v>0.0711</v>
      </c>
      <c r="F212" s="53" t="n">
        <f aca="false">Review!$E$11</f>
        <v>0.0711258980149541</v>
      </c>
      <c r="G212" s="44" t="n">
        <f aca="false">IFERROR(IF(ISNUMBER(F212),F212-E212,"n/a"),"n/a")</f>
        <v>2.58980149540622E-005</v>
      </c>
      <c r="H212" s="54" t="n">
        <v>5.0001E-005</v>
      </c>
      <c r="I212" s="52" t="str">
        <f aca="false">IFERROR(IF(ISNUMBER(F212),IF(ABS(F212-E212)&lt;=H212,"PASS","FAIL"),"FAIL"),"FAIL")</f>
        <v>PASS</v>
      </c>
    </row>
    <row r="213" customFormat="false" ht="15" hidden="false" customHeight="false" outlineLevel="0" collapsed="false">
      <c r="B213" s="28" t="n">
        <v>204</v>
      </c>
      <c r="C213" s="9" t="s">
        <v>623</v>
      </c>
      <c r="D213" s="9" t="s">
        <v>648</v>
      </c>
      <c r="E213" s="10" t="n">
        <v>0.0736</v>
      </c>
      <c r="F213" s="53" t="n">
        <f aca="false">Review!$D$12</f>
        <v>0.0736404123832243</v>
      </c>
      <c r="G213" s="44" t="n">
        <f aca="false">IFERROR(IF(ISNUMBER(F213),F213-E213,"n/a"),"n/a")</f>
        <v>4.04123832242614E-005</v>
      </c>
      <c r="H213" s="54" t="n">
        <v>5.0001E-005</v>
      </c>
      <c r="I213" s="52" t="str">
        <f aca="false">IFERROR(IF(ISNUMBER(F213),IF(ABS(F213-E213)&lt;=H213,"PASS","FAIL"),"FAIL"),"FAIL")</f>
        <v>PASS</v>
      </c>
    </row>
    <row r="214" customFormat="false" ht="15" hidden="false" customHeight="false" outlineLevel="0" collapsed="false">
      <c r="B214" s="28" t="n">
        <v>205</v>
      </c>
      <c r="C214" s="9" t="s">
        <v>623</v>
      </c>
      <c r="D214" s="9" t="s">
        <v>649</v>
      </c>
      <c r="E214" s="55" t="n">
        <v>2729</v>
      </c>
      <c r="F214" s="43" t="n">
        <f aca="false">Review!$F$12</f>
        <v>2729.28784323328</v>
      </c>
      <c r="G214" s="44" t="n">
        <f aca="false">IFERROR(IF(ISNUMBER(F214),F214-E214,"n/a"),"n/a")</f>
        <v>0.287843233283638</v>
      </c>
      <c r="H214" s="54" t="n">
        <v>0.500000001</v>
      </c>
      <c r="I214" s="52" t="str">
        <f aca="false">IFERROR(IF(ISNUMBER(F214),IF(ABS(F214-E214)&lt;=H214,"PASS","FAIL"),"FAIL"),"FAIL")</f>
        <v>PASS</v>
      </c>
    </row>
    <row r="215" customFormat="false" ht="15" hidden="false" customHeight="false" outlineLevel="0" collapsed="false">
      <c r="B215" s="28" t="n">
        <v>206</v>
      </c>
      <c r="C215" s="9" t="s">
        <v>623</v>
      </c>
      <c r="D215" s="9" t="s">
        <v>650</v>
      </c>
      <c r="E215" s="10" t="n">
        <v>0</v>
      </c>
      <c r="F215" s="53" t="n">
        <f aca="false">Review!$G$12</f>
        <v>-3.33847917558374E-005</v>
      </c>
      <c r="G215" s="44" t="n">
        <f aca="false">IFERROR(IF(ISNUMBER(F215),F215-E215,"n/a"),"n/a")</f>
        <v>-3.33847917558374E-005</v>
      </c>
      <c r="H215" s="54" t="n">
        <v>5.0001E-005</v>
      </c>
      <c r="I215" s="52" t="str">
        <f aca="false">IFERROR(IF(ISNUMBER(F215),IF(ABS(F215-E215)&lt;=H215,"PASS","FAIL"),"FAIL"),"FAIL")</f>
        <v>PASS</v>
      </c>
    </row>
    <row r="216" customFormat="false" ht="15" hidden="false" customHeight="false" outlineLevel="0" collapsed="false">
      <c r="B216" s="28" t="n">
        <v>207</v>
      </c>
      <c r="C216" s="9" t="s">
        <v>623</v>
      </c>
      <c r="D216" s="9" t="s">
        <v>651</v>
      </c>
      <c r="E216" s="10" t="n">
        <v>0.075</v>
      </c>
      <c r="F216" s="53" t="n">
        <f aca="false">Review!$E$12</f>
        <v>0.0749961399672177</v>
      </c>
      <c r="G216" s="44" t="n">
        <f aca="false">IFERROR(IF(ISNUMBER(F216),F216-E216,"n/a"),"n/a")</f>
        <v>-3.86003278234071E-006</v>
      </c>
      <c r="H216" s="54" t="n">
        <v>5.0001E-005</v>
      </c>
      <c r="I216" s="52" t="str">
        <f aca="false">IFERROR(IF(ISNUMBER(F216),IF(ABS(F216-E216)&lt;=H216,"PASS","FAIL"),"FAIL"),"FAIL")</f>
        <v>PASS</v>
      </c>
    </row>
    <row r="217" customFormat="false" ht="15" hidden="false" customHeight="false" outlineLevel="0" collapsed="false">
      <c r="B217" s="28" t="n">
        <v>208</v>
      </c>
      <c r="C217" s="9" t="s">
        <v>623</v>
      </c>
      <c r="D217" s="9" t="s">
        <v>652</v>
      </c>
      <c r="E217" s="10" t="n">
        <v>0.0774</v>
      </c>
      <c r="F217" s="53" t="n">
        <f aca="false">Review!$D$13</f>
        <v>0.0773997713205988</v>
      </c>
      <c r="G217" s="44" t="n">
        <f aca="false">IFERROR(IF(ISNUMBER(F217),F217-E217,"n/a"),"n/a")</f>
        <v>-2.28679401206855E-007</v>
      </c>
      <c r="H217" s="54" t="n">
        <v>5.0001E-005</v>
      </c>
      <c r="I217" s="52" t="str">
        <f aca="false">IFERROR(IF(ISNUMBER(F217),IF(ABS(F217-E217)&lt;=H217,"PASS","FAIL"),"FAIL"),"FAIL")</f>
        <v>PASS</v>
      </c>
    </row>
    <row r="218" customFormat="false" ht="15" hidden="false" customHeight="false" outlineLevel="0" collapsed="false">
      <c r="B218" s="28" t="n">
        <v>209</v>
      </c>
      <c r="C218" s="9" t="s">
        <v>623</v>
      </c>
      <c r="D218" s="9" t="s">
        <v>653</v>
      </c>
      <c r="E218" s="55" t="n">
        <v>2857</v>
      </c>
      <c r="F218" s="43" t="n">
        <f aca="false">Review!$F$13</f>
        <v>2857.24820495744</v>
      </c>
      <c r="G218" s="44" t="n">
        <f aca="false">IFERROR(IF(ISNUMBER(F218),F218-E218,"n/a"),"n/a")</f>
        <v>0.248204957435519</v>
      </c>
      <c r="H218" s="54" t="n">
        <v>0.500000001</v>
      </c>
      <c r="I218" s="52" t="str">
        <f aca="false">IFERROR(IF(ISNUMBER(F218),IF(ABS(F218-E218)&lt;=H218,"PASS","FAIL"),"FAIL"),"FAIL")</f>
        <v>PASS</v>
      </c>
    </row>
    <row r="219" customFormat="false" ht="15" hidden="false" customHeight="false" outlineLevel="0" collapsed="false">
      <c r="B219" s="28" t="n">
        <v>210</v>
      </c>
      <c r="C219" s="9" t="s">
        <v>623</v>
      </c>
      <c r="D219" s="9" t="s">
        <v>654</v>
      </c>
      <c r="E219" s="10" t="n">
        <v>0</v>
      </c>
      <c r="F219" s="53" t="n">
        <f aca="false">Review!$G$13</f>
        <v>-3.66931881779533E-005</v>
      </c>
      <c r="G219" s="44" t="n">
        <f aca="false">IFERROR(IF(ISNUMBER(F219),F219-E219,"n/a"),"n/a")</f>
        <v>-3.66931881779533E-005</v>
      </c>
      <c r="H219" s="54" t="n">
        <v>5.0001E-005</v>
      </c>
      <c r="I219" s="52" t="str">
        <f aca="false">IFERROR(IF(ISNUMBER(F219),IF(ABS(F219-E219)&lt;=H219,"PASS","FAIL"),"FAIL"),"FAIL")</f>
        <v>PASS</v>
      </c>
    </row>
    <row r="220" customFormat="false" ht="15" hidden="false" customHeight="false" outlineLevel="0" collapsed="false">
      <c r="B220" s="28" t="n">
        <v>211</v>
      </c>
      <c r="C220" s="9" t="s">
        <v>623</v>
      </c>
      <c r="D220" s="9" t="s">
        <v>655</v>
      </c>
      <c r="E220" s="10" t="n">
        <v>0.0789</v>
      </c>
      <c r="F220" s="53" t="n">
        <f aca="false">Review!$E$13</f>
        <v>0.0788974524707193</v>
      </c>
      <c r="G220" s="44" t="n">
        <f aca="false">IFERROR(IF(ISNUMBER(F220),F220-E220,"n/a"),"n/a")</f>
        <v>-2.54752928066648E-006</v>
      </c>
      <c r="H220" s="54" t="n">
        <v>5.0001E-005</v>
      </c>
      <c r="I220" s="52" t="str">
        <f aca="false">IFERROR(IF(ISNUMBER(F220),IF(ABS(F220-E220)&lt;=H220,"PASS","FAIL"),"FAIL"),"FAIL")</f>
        <v>PASS</v>
      </c>
    </row>
    <row r="221" customFormat="false" ht="15" hidden="false" customHeight="false" outlineLevel="0" collapsed="false">
      <c r="B221" s="28" t="n">
        <v>212</v>
      </c>
      <c r="C221" s="9" t="s">
        <v>623</v>
      </c>
      <c r="D221" s="9" t="s">
        <v>656</v>
      </c>
      <c r="E221" s="10" t="n">
        <v>0.0812</v>
      </c>
      <c r="F221" s="53" t="n">
        <f aca="false">Review!$D$14</f>
        <v>0.0811827080590467</v>
      </c>
      <c r="G221" s="44" t="n">
        <f aca="false">IFERROR(IF(ISNUMBER(F221),F221-E221,"n/a"),"n/a")</f>
        <v>-1.72919409533456E-005</v>
      </c>
      <c r="H221" s="54" t="n">
        <v>5.0001E-005</v>
      </c>
      <c r="I221" s="52" t="str">
        <f aca="false">IFERROR(IF(ISNUMBER(F221),IF(ABS(F221-E221)&lt;=H221,"PASS","FAIL"),"FAIL"),"FAIL")</f>
        <v>PASS</v>
      </c>
    </row>
    <row r="222" customFormat="false" ht="15" hidden="false" customHeight="false" outlineLevel="0" collapsed="false">
      <c r="B222" s="28" t="n">
        <v>213</v>
      </c>
      <c r="C222" s="9" t="s">
        <v>623</v>
      </c>
      <c r="D222" s="9" t="s">
        <v>657</v>
      </c>
      <c r="E222" s="55" t="n">
        <v>2985</v>
      </c>
      <c r="F222" s="43" t="n">
        <f aca="false">Review!$F$14</f>
        <v>2984.92912302306</v>
      </c>
      <c r="G222" s="44" t="n">
        <f aca="false">IFERROR(IF(ISNUMBER(F222),F222-E222,"n/a"),"n/a")</f>
        <v>-0.0708769769425999</v>
      </c>
      <c r="H222" s="54" t="n">
        <v>0.500000001</v>
      </c>
      <c r="I222" s="52" t="str">
        <f aca="false">IFERROR(IF(ISNUMBER(F222),IF(ABS(F222-E222)&lt;=H222,"PASS","FAIL"),"FAIL"),"FAIL")</f>
        <v>PASS</v>
      </c>
    </row>
    <row r="223" customFormat="false" ht="15" hidden="false" customHeight="false" outlineLevel="0" collapsed="false">
      <c r="B223" s="28" t="n">
        <v>214</v>
      </c>
      <c r="C223" s="9" t="s">
        <v>623</v>
      </c>
      <c r="D223" s="9" t="s">
        <v>658</v>
      </c>
      <c r="E223" s="10" t="n">
        <v>0</v>
      </c>
      <c r="F223" s="53" t="n">
        <f aca="false">Review!$G$14</f>
        <v>-4.01616642850189E-005</v>
      </c>
      <c r="G223" s="44" t="n">
        <f aca="false">IFERROR(IF(ISNUMBER(F223),F223-E223,"n/a"),"n/a")</f>
        <v>-4.01616642850189E-005</v>
      </c>
      <c r="H223" s="54" t="n">
        <v>5.0001E-005</v>
      </c>
      <c r="I223" s="52" t="str">
        <f aca="false">IFERROR(IF(ISNUMBER(F223),IF(ABS(F223-E223)&lt;=H223,"PASS","FAIL"),"FAIL"),"FAIL")</f>
        <v>PASS</v>
      </c>
    </row>
    <row r="224" customFormat="false" ht="15" hidden="false" customHeight="false" outlineLevel="0" collapsed="false">
      <c r="B224" s="28" t="n">
        <v>215</v>
      </c>
      <c r="C224" s="9" t="s">
        <v>623</v>
      </c>
      <c r="D224" s="9" t="s">
        <v>659</v>
      </c>
      <c r="E224" s="10" t="n">
        <v>0.0828</v>
      </c>
      <c r="F224" s="53" t="n">
        <f aca="false">Review!$E$14</f>
        <v>0.0828303660809961</v>
      </c>
      <c r="G224" s="44" t="n">
        <f aca="false">IFERROR(IF(ISNUMBER(F224),F224-E224,"n/a"),"n/a")</f>
        <v>3.03660809961442E-005</v>
      </c>
      <c r="H224" s="54" t="n">
        <v>5.0001E-005</v>
      </c>
      <c r="I224" s="52" t="str">
        <f aca="false">IFERROR(IF(ISNUMBER(F224),IF(ABS(F224-E224)&lt;=H224,"PASS","FAIL"),"FAIL"),"FAIL")</f>
        <v>PASS</v>
      </c>
    </row>
    <row r="225" customFormat="false" ht="15" hidden="false" customHeight="false" outlineLevel="0" collapsed="false">
      <c r="B225" s="28" t="n">
        <v>216</v>
      </c>
      <c r="C225" s="9" t="s">
        <v>623</v>
      </c>
      <c r="D225" s="9" t="s">
        <v>660</v>
      </c>
      <c r="E225" s="10" t="n">
        <v>0.0875</v>
      </c>
      <c r="F225" s="53" t="n">
        <f aca="false">Review!$D$15</f>
        <v>0.0875368825411204</v>
      </c>
      <c r="G225" s="44" t="n">
        <f aca="false">IFERROR(IF(ISNUMBER(F225),F225-E225,"n/a"),"n/a")</f>
        <v>3.68825411204421E-005</v>
      </c>
      <c r="H225" s="54" t="n">
        <v>5.0001E-005</v>
      </c>
      <c r="I225" s="52" t="str">
        <f aca="false">IFERROR(IF(ISNUMBER(F225),IF(ABS(F225-E225)&lt;=H225,"PASS","FAIL"),"FAIL"),"FAIL")</f>
        <v>PASS</v>
      </c>
    </row>
    <row r="226" customFormat="false" ht="15" hidden="false" customHeight="false" outlineLevel="0" collapsed="false">
      <c r="B226" s="28" t="n">
        <v>217</v>
      </c>
      <c r="C226" s="9" t="s">
        <v>623</v>
      </c>
      <c r="D226" s="9" t="s">
        <v>661</v>
      </c>
      <c r="E226" s="55" t="n">
        <v>3206</v>
      </c>
      <c r="F226" s="43" t="n">
        <f aca="false">Review!$F$15</f>
        <v>3205.51966201715</v>
      </c>
      <c r="G226" s="44" t="n">
        <f aca="false">IFERROR(IF(ISNUMBER(F226),F226-E226,"n/a"),"n/a")</f>
        <v>-0.480337982848141</v>
      </c>
      <c r="H226" s="54" t="n">
        <v>0.500000001</v>
      </c>
      <c r="I226" s="52" t="str">
        <f aca="false">IFERROR(IF(ISNUMBER(F226),IF(ABS(F226-E226)&lt;=H226,"PASS","FAIL"),"FAIL"),"FAIL")</f>
        <v>PASS</v>
      </c>
    </row>
    <row r="227" customFormat="false" ht="15" hidden="false" customHeight="false" outlineLevel="0" collapsed="false">
      <c r="B227" s="28" t="n">
        <v>218</v>
      </c>
      <c r="C227" s="9" t="s">
        <v>623</v>
      </c>
      <c r="D227" s="9" t="s">
        <v>662</v>
      </c>
      <c r="E227" s="10" t="n">
        <v>0</v>
      </c>
      <c r="F227" s="53" t="n">
        <f aca="false">Review!$G$15</f>
        <v>-4.64551539429212E-005</v>
      </c>
      <c r="G227" s="44" t="n">
        <f aca="false">IFERROR(IF(ISNUMBER(F227),F227-E227,"n/a"),"n/a")</f>
        <v>-4.64551539429212E-005</v>
      </c>
      <c r="H227" s="54" t="n">
        <v>5.0001E-005</v>
      </c>
      <c r="I227" s="52" t="str">
        <f aca="false">IFERROR(IF(ISNUMBER(F227),IF(ABS(F227-E227)&lt;=H227,"PASS","FAIL"),"FAIL"),"FAIL")</f>
        <v>PASS</v>
      </c>
    </row>
    <row r="228" customFormat="false" ht="15" hidden="false" customHeight="false" outlineLevel="0" collapsed="false">
      <c r="B228" s="28" t="n">
        <v>219</v>
      </c>
      <c r="C228" s="9" t="s">
        <v>623</v>
      </c>
      <c r="D228" s="9" t="s">
        <v>663</v>
      </c>
      <c r="E228" s="10" t="n">
        <v>0.0895</v>
      </c>
      <c r="F228" s="53" t="n">
        <f aca="false">Review!$E$15</f>
        <v>0.0894525589923749</v>
      </c>
      <c r="G228" s="44" t="n">
        <f aca="false">IFERROR(IF(ISNUMBER(F228),F228-E228,"n/a"),"n/a")</f>
        <v>-4.74410076250764E-005</v>
      </c>
      <c r="H228" s="54" t="n">
        <v>5.0001E-005</v>
      </c>
      <c r="I228" s="52" t="str">
        <f aca="false">IFERROR(IF(ISNUMBER(F228),IF(ABS(F228-E228)&lt;=H228,"PASS","FAIL"),"FAIL"),"FAIL")</f>
        <v>PASS</v>
      </c>
    </row>
    <row r="229" customFormat="false" ht="15" hidden="false" customHeight="false" outlineLevel="0" collapsed="false">
      <c r="B229" s="28" t="n">
        <v>220</v>
      </c>
      <c r="C229" s="9" t="s">
        <v>623</v>
      </c>
      <c r="D229" s="9" t="s">
        <v>664</v>
      </c>
      <c r="E229" s="10" t="n">
        <v>0.1006</v>
      </c>
      <c r="F229" s="53" t="n">
        <f aca="false">Review!$D$16</f>
        <v>0.100561753609911</v>
      </c>
      <c r="G229" s="44" t="n">
        <f aca="false">IFERROR(IF(ISNUMBER(F229),F229-E229,"n/a"),"n/a")</f>
        <v>-3.8246390089175E-005</v>
      </c>
      <c r="H229" s="54" t="n">
        <v>5.0001E-005</v>
      </c>
      <c r="I229" s="52" t="str">
        <f aca="false">IFERROR(IF(ISNUMBER(F229),IF(ABS(F229-E229)&lt;=H229,"PASS","FAIL"),"FAIL"),"FAIL")</f>
        <v>PASS</v>
      </c>
    </row>
    <row r="230" customFormat="false" ht="15" hidden="false" customHeight="false" outlineLevel="0" collapsed="false">
      <c r="B230" s="28" t="n">
        <v>221</v>
      </c>
      <c r="C230" s="9" t="s">
        <v>623</v>
      </c>
      <c r="D230" s="9" t="s">
        <v>665</v>
      </c>
      <c r="E230" s="55" t="n">
        <v>-5688</v>
      </c>
      <c r="F230" s="43" t="n">
        <f aca="false">Review!$F$16</f>
        <v>-5687.5</v>
      </c>
      <c r="G230" s="44" t="n">
        <f aca="false">IFERROR(IF(ISNUMBER(F230),F230-E230,"n/a"),"n/a")</f>
        <v>0.5</v>
      </c>
      <c r="H230" s="54" t="n">
        <v>0.500000001</v>
      </c>
      <c r="I230" s="52" t="str">
        <f aca="false">IFERROR(IF(ISNUMBER(F230),IF(ABS(F230-E230)&lt;=H230,"PASS","FAIL"),"FAIL"),"FAIL")</f>
        <v>PASS</v>
      </c>
    </row>
    <row r="231" customFormat="false" ht="15" hidden="false" customHeight="false" outlineLevel="0" collapsed="false">
      <c r="B231" s="28" t="n">
        <v>222</v>
      </c>
      <c r="C231" s="9" t="s">
        <v>623</v>
      </c>
      <c r="D231" s="9" t="s">
        <v>666</v>
      </c>
      <c r="E231" s="10" t="n">
        <v>0.0083</v>
      </c>
      <c r="F231" s="53" t="n">
        <f aca="false">Review!$G$16</f>
        <v>0.00834557647223727</v>
      </c>
      <c r="G231" s="44" t="n">
        <f aca="false">IFERROR(IF(ISNUMBER(F231),F231-E231,"n/a"),"n/a")</f>
        <v>4.55764722372652E-005</v>
      </c>
      <c r="H231" s="54" t="n">
        <v>5.0001E-005</v>
      </c>
      <c r="I231" s="52" t="str">
        <f aca="false">IFERROR(IF(ISNUMBER(F231),IF(ABS(F231-E231)&lt;=H231,"PASS","FAIL"),"FAIL"),"FAIL")</f>
        <v>PASS</v>
      </c>
    </row>
    <row r="232" customFormat="false" ht="15" hidden="false" customHeight="false" outlineLevel="0" collapsed="false">
      <c r="B232" s="28" t="n">
        <v>223</v>
      </c>
      <c r="C232" s="9" t="s">
        <v>623</v>
      </c>
      <c r="D232" s="9" t="s">
        <v>667</v>
      </c>
      <c r="E232" s="10" t="n">
        <v>-0.2546</v>
      </c>
      <c r="F232" s="53" t="n">
        <f aca="false">Review!$E$16</f>
        <v>-0.254569160102313</v>
      </c>
      <c r="G232" s="44" t="n">
        <f aca="false">IFERROR(IF(ISNUMBER(F232),F232-E232,"n/a"),"n/a")</f>
        <v>3.0839897686763E-005</v>
      </c>
      <c r="H232" s="54" t="n">
        <v>5.0001E-005</v>
      </c>
      <c r="I232" s="52" t="str">
        <f aca="false">IFERROR(IF(ISNUMBER(F232),IF(ABS(F232-E232)&lt;=H232,"PASS","FAIL"),"FAIL"),"FAIL")</f>
        <v>PASS</v>
      </c>
    </row>
    <row r="233" customFormat="false" ht="15" hidden="false" customHeight="false" outlineLevel="0" collapsed="false">
      <c r="B233" s="28" t="n">
        <v>224</v>
      </c>
      <c r="C233" s="9" t="s">
        <v>623</v>
      </c>
      <c r="D233" s="9" t="s">
        <v>668</v>
      </c>
      <c r="E233" s="10" t="n">
        <v>0.0665</v>
      </c>
      <c r="F233" s="53" t="n">
        <f aca="false">Review!$D$17</f>
        <v>0.0665</v>
      </c>
      <c r="G233" s="44" t="n">
        <f aca="false">IFERROR(IF(ISNUMBER(F233),F233-E233,"n/a"),"n/a")</f>
        <v>0</v>
      </c>
      <c r="H233" s="54" t="n">
        <v>5.0001E-005</v>
      </c>
      <c r="I233" s="52" t="str">
        <f aca="false">IFERROR(IF(ISNUMBER(F233),IF(ABS(F233-E233)&lt;=H233,"PASS","FAIL"),"FAIL"),"FAIL")</f>
        <v>PASS</v>
      </c>
    </row>
    <row r="234" customFormat="false" ht="15" hidden="false" customHeight="false" outlineLevel="0" collapsed="false">
      <c r="B234" s="28" t="n">
        <v>225</v>
      </c>
      <c r="C234" s="9" t="s">
        <v>623</v>
      </c>
      <c r="D234" s="9" t="s">
        <v>669</v>
      </c>
      <c r="E234" s="55" t="n">
        <v>12420</v>
      </c>
      <c r="F234" s="43" t="n">
        <f aca="false">Review!$F$17</f>
        <v>12419.6698725582</v>
      </c>
      <c r="G234" s="44" t="n">
        <f aca="false">IFERROR(IF(ISNUMBER(F234),F234-E234,"n/a"),"n/a")</f>
        <v>-0.330127441804507</v>
      </c>
      <c r="H234" s="54" t="n">
        <v>0.500000001</v>
      </c>
      <c r="I234" s="52" t="str">
        <f aca="false">IFERROR(IF(ISNUMBER(F234),IF(ABS(F234-E234)&lt;=H234,"PASS","FAIL"),"FAIL"),"FAIL")</f>
        <v>PASS</v>
      </c>
    </row>
    <row r="235" customFormat="false" ht="15" hidden="false" customHeight="false" outlineLevel="0" collapsed="false">
      <c r="B235" s="28" t="n">
        <v>226</v>
      </c>
      <c r="C235" s="9" t="s">
        <v>623</v>
      </c>
      <c r="D235" s="9" t="s">
        <v>670</v>
      </c>
      <c r="E235" s="10" t="n">
        <v>0.0014</v>
      </c>
      <c r="F235" s="53" t="n">
        <f aca="false">Review!$G$17</f>
        <v>0.00139694783761388</v>
      </c>
      <c r="G235" s="44" t="n">
        <f aca="false">IFERROR(IF(ISNUMBER(F235),F235-E235,"n/a"),"n/a")</f>
        <v>-3.05216238611792E-006</v>
      </c>
      <c r="H235" s="54" t="n">
        <v>5.0001E-005</v>
      </c>
      <c r="I235" s="52" t="str">
        <f aca="false">IFERROR(IF(ISNUMBER(F235),IF(ABS(F235-E235)&lt;=H235,"PASS","FAIL"),"FAIL"),"FAIL")</f>
        <v>PASS</v>
      </c>
    </row>
    <row r="236" customFormat="false" ht="15" hidden="false" customHeight="false" outlineLevel="0" collapsed="false">
      <c r="B236" s="28" t="n">
        <v>227</v>
      </c>
      <c r="C236" s="9" t="s">
        <v>623</v>
      </c>
      <c r="D236" s="9" t="s">
        <v>671</v>
      </c>
      <c r="E236" s="10" t="n">
        <v>0.0572</v>
      </c>
      <c r="F236" s="53" t="n">
        <f aca="false">Review!$E$17</f>
        <v>0.0571870144159075</v>
      </c>
      <c r="G236" s="44" t="n">
        <f aca="false">IFERROR(IF(ISNUMBER(F236),F236-E236,"n/a"),"n/a")</f>
        <v>-1.29855840925452E-005</v>
      </c>
      <c r="H236" s="54" t="n">
        <v>5.0001E-005</v>
      </c>
      <c r="I236" s="52" t="str">
        <f aca="false">IFERROR(IF(ISNUMBER(F236),IF(ABS(F236-E236)&lt;=H236,"PASS","FAIL"),"FAIL"),"FAIL")</f>
        <v>PASS</v>
      </c>
    </row>
    <row r="237" customFormat="false" ht="15" hidden="false" customHeight="false" outlineLevel="0" collapsed="false">
      <c r="B237" s="28" t="n">
        <v>228</v>
      </c>
      <c r="C237" s="9" t="s">
        <v>623</v>
      </c>
      <c r="D237" s="9" t="s">
        <v>672</v>
      </c>
      <c r="E237" s="10" t="n">
        <v>0.1011</v>
      </c>
      <c r="F237" s="53" t="n">
        <f aca="false">Review!$D$18</f>
        <v>0.101052631578947</v>
      </c>
      <c r="G237" s="44" t="n">
        <f aca="false">IFERROR(IF(ISNUMBER(F237),F237-E237,"n/a"),"n/a")</f>
        <v>-4.73684210526293E-005</v>
      </c>
      <c r="H237" s="54" t="n">
        <v>5.0001E-005</v>
      </c>
      <c r="I237" s="52" t="str">
        <f aca="false">IFERROR(IF(ISNUMBER(F237),IF(ABS(F237-E237)&lt;=H237,"PASS","FAIL"),"FAIL"),"FAIL")</f>
        <v>PASS</v>
      </c>
    </row>
    <row r="238" customFormat="false" ht="15" hidden="false" customHeight="false" outlineLevel="0" collapsed="false">
      <c r="B238" s="28" t="n">
        <v>229</v>
      </c>
      <c r="C238" s="9" t="s">
        <v>623</v>
      </c>
      <c r="D238" s="9" t="s">
        <v>673</v>
      </c>
      <c r="E238" s="55" t="n">
        <v>7310</v>
      </c>
      <c r="F238" s="43" t="n">
        <f aca="false">Review!$F$18</f>
        <v>7310.24080389558</v>
      </c>
      <c r="G238" s="44" t="n">
        <f aca="false">IFERROR(IF(ISNUMBER(F238),F238-E238,"n/a"),"n/a")</f>
        <v>0.240803895583667</v>
      </c>
      <c r="H238" s="54" t="n">
        <v>0.500000001</v>
      </c>
      <c r="I238" s="52" t="str">
        <f aca="false">IFERROR(IF(ISNUMBER(F238),IF(ABS(F238-E238)&lt;=H238,"PASS","FAIL"),"FAIL"),"FAIL")</f>
        <v>PASS</v>
      </c>
    </row>
    <row r="239" customFormat="false" ht="15" hidden="false" customHeight="false" outlineLevel="0" collapsed="false">
      <c r="B239" s="28" t="n">
        <v>230</v>
      </c>
      <c r="C239" s="9" t="s">
        <v>623</v>
      </c>
      <c r="D239" s="9" t="s">
        <v>674</v>
      </c>
      <c r="E239" s="10" t="n">
        <v>0</v>
      </c>
      <c r="F239" s="53" t="n">
        <f aca="false">Review!$G$18</f>
        <v>-2.64804877254513E-005</v>
      </c>
      <c r="G239" s="44" t="n">
        <f aca="false">IFERROR(IF(ISNUMBER(F239),F239-E239,"n/a"),"n/a")</f>
        <v>-2.64804877254513E-005</v>
      </c>
      <c r="H239" s="54" t="n">
        <v>5.0001E-005</v>
      </c>
      <c r="I239" s="52" t="str">
        <f aca="false">IFERROR(IF(ISNUMBER(F239),IF(ABS(F239-E239)&lt;=H239,"PASS","FAIL"),"FAIL"),"FAIL")</f>
        <v>PASS</v>
      </c>
    </row>
    <row r="240" customFormat="false" ht="15" hidden="false" customHeight="false" outlineLevel="0" collapsed="false">
      <c r="B240" s="28" t="n">
        <v>231</v>
      </c>
      <c r="C240" s="9" t="s">
        <v>623</v>
      </c>
      <c r="D240" s="9" t="s">
        <v>675</v>
      </c>
      <c r="E240" s="10" t="n">
        <v>0.1016</v>
      </c>
      <c r="F240" s="53" t="n">
        <f aca="false">Review!$E$18</f>
        <v>0.101582241333456</v>
      </c>
      <c r="G240" s="44" t="n">
        <f aca="false">IFERROR(IF(ISNUMBER(F240),F240-E240,"n/a"),"n/a")</f>
        <v>-1.77586665436047E-005</v>
      </c>
      <c r="H240" s="54" t="n">
        <v>5.0001E-005</v>
      </c>
      <c r="I240" s="52" t="str">
        <f aca="false">IFERROR(IF(ISNUMBER(F240),IF(ABS(F240-E240)&lt;=H240,"PASS","FAIL"),"FAIL"),"FAIL")</f>
        <v>PASS</v>
      </c>
    </row>
    <row r="241" customFormat="false" ht="15" hidden="false" customHeight="false" outlineLevel="0" collapsed="false">
      <c r="B241" s="28" t="n">
        <v>232</v>
      </c>
      <c r="C241" s="9" t="s">
        <v>623</v>
      </c>
      <c r="D241" s="9" t="s">
        <v>676</v>
      </c>
      <c r="E241" s="10" t="n">
        <v>0.1067</v>
      </c>
      <c r="F241" s="53" t="n">
        <f aca="false">Review!$D$19</f>
        <v>0.106666666666667</v>
      </c>
      <c r="G241" s="44" t="n">
        <f aca="false">IFERROR(IF(ISNUMBER(F241),F241-E241,"n/a"),"n/a")</f>
        <v>-3.33333333333297E-005</v>
      </c>
      <c r="H241" s="54" t="n">
        <v>5.0001E-005</v>
      </c>
      <c r="I241" s="52" t="str">
        <f aca="false">IFERROR(IF(ISNUMBER(F241),IF(ABS(F241-E241)&lt;=H241,"PASS","FAIL"),"FAIL"),"FAIL")</f>
        <v>PASS</v>
      </c>
    </row>
    <row r="242" customFormat="false" ht="15" hidden="false" customHeight="false" outlineLevel="0" collapsed="false">
      <c r="B242" s="28" t="n">
        <v>233</v>
      </c>
      <c r="C242" s="9" t="s">
        <v>623</v>
      </c>
      <c r="D242" s="9" t="s">
        <v>677</v>
      </c>
      <c r="E242" s="55" t="n">
        <v>6415</v>
      </c>
      <c r="F242" s="43" t="n">
        <f aca="false">Review!$F$19</f>
        <v>6415.2084261635</v>
      </c>
      <c r="G242" s="44" t="n">
        <f aca="false">IFERROR(IF(ISNUMBER(F242),F242-E242,"n/a"),"n/a")</f>
        <v>0.20842616349546</v>
      </c>
      <c r="H242" s="54" t="n">
        <v>0.500000001</v>
      </c>
      <c r="I242" s="52" t="str">
        <f aca="false">IFERROR(IF(ISNUMBER(F242),IF(ABS(F242-E242)&lt;=H242,"PASS","FAIL"),"FAIL"),"FAIL")</f>
        <v>PASS</v>
      </c>
    </row>
    <row r="243" customFormat="false" ht="15" hidden="false" customHeight="false" outlineLevel="0" collapsed="false">
      <c r="B243" s="28" t="n">
        <v>234</v>
      </c>
      <c r="C243" s="9" t="s">
        <v>623</v>
      </c>
      <c r="D243" s="9" t="s">
        <v>678</v>
      </c>
      <c r="E243" s="10" t="n">
        <v>0.0008</v>
      </c>
      <c r="F243" s="53" t="n">
        <f aca="false">Review!$G$19</f>
        <v>0.00078749977150555</v>
      </c>
      <c r="G243" s="44" t="n">
        <f aca="false">IFERROR(IF(ISNUMBER(F243),F243-E243,"n/a"),"n/a")</f>
        <v>-1.25002284944497E-005</v>
      </c>
      <c r="H243" s="54" t="n">
        <v>5.0001E-005</v>
      </c>
      <c r="I243" s="52" t="str">
        <f aca="false">IFERROR(IF(ISNUMBER(F243),IF(ABS(F243-E243)&lt;=H243,"PASS","FAIL"),"FAIL"),"FAIL")</f>
        <v>PASS</v>
      </c>
    </row>
    <row r="244" customFormat="false" ht="15" hidden="false" customHeight="false" outlineLevel="0" collapsed="false">
      <c r="B244" s="28" t="n">
        <v>235</v>
      </c>
      <c r="C244" s="9" t="s">
        <v>623</v>
      </c>
      <c r="D244" s="9" t="s">
        <v>679</v>
      </c>
      <c r="E244" s="10" t="n">
        <v>0.0909</v>
      </c>
      <c r="F244" s="53" t="n">
        <f aca="false">Review!$E$19</f>
        <v>0.0909166712365557</v>
      </c>
      <c r="G244" s="44" t="n">
        <f aca="false">IFERROR(IF(ISNUMBER(F244),F244-E244,"n/a"),"n/a")</f>
        <v>1.66712365556737E-005</v>
      </c>
      <c r="H244" s="54" t="n">
        <v>5.0001E-005</v>
      </c>
      <c r="I244" s="52" t="str">
        <f aca="false">IFERROR(IF(ISNUMBER(F244),IF(ABS(F244-E244)&lt;=H244,"PASS","FAIL"),"FAIL"),"FAIL")</f>
        <v>PASS</v>
      </c>
    </row>
    <row r="245" customFormat="false" ht="15" hidden="false" customHeight="false" outlineLevel="0" collapsed="false">
      <c r="B245" s="28" t="n">
        <v>236</v>
      </c>
      <c r="C245" s="9" t="s">
        <v>623</v>
      </c>
      <c r="D245" s="9" t="s">
        <v>680</v>
      </c>
      <c r="E245" s="10" t="n">
        <v>0.1467</v>
      </c>
      <c r="F245" s="53" t="n">
        <f aca="false">Review!$D$20</f>
        <v>0.146666666666667</v>
      </c>
      <c r="G245" s="44" t="n">
        <f aca="false">IFERROR(IF(ISNUMBER(F245),F245-E245,"n/a"),"n/a")</f>
        <v>-3.33333333333297E-005</v>
      </c>
      <c r="H245" s="54" t="n">
        <v>5.0001E-005</v>
      </c>
      <c r="I245" s="52" t="str">
        <f aca="false">IFERROR(IF(ISNUMBER(F245),IF(ABS(F245-E245)&lt;=H245,"PASS","FAIL"),"FAIL"),"FAIL")</f>
        <v>PASS</v>
      </c>
    </row>
    <row r="246" customFormat="false" ht="15" hidden="false" customHeight="false" outlineLevel="0" collapsed="false">
      <c r="B246" s="28" t="n">
        <v>237</v>
      </c>
      <c r="C246" s="9" t="s">
        <v>623</v>
      </c>
      <c r="D246" s="9" t="s">
        <v>681</v>
      </c>
      <c r="E246" s="55" t="n">
        <v>5159</v>
      </c>
      <c r="F246" s="43" t="n">
        <f aca="false">Review!$F$20</f>
        <v>5159.42457402619</v>
      </c>
      <c r="G246" s="44" t="n">
        <f aca="false">IFERROR(IF(ISNUMBER(F246),F246-E246,"n/a"),"n/a")</f>
        <v>0.424574026186747</v>
      </c>
      <c r="H246" s="54" t="n">
        <v>0.500000001</v>
      </c>
      <c r="I246" s="52" t="str">
        <f aca="false">IFERROR(IF(ISNUMBER(F246),IF(ABS(F246-E246)&lt;=H246,"PASS","FAIL"),"FAIL"),"FAIL")</f>
        <v>PASS</v>
      </c>
    </row>
    <row r="247" customFormat="false" ht="15" hidden="false" customHeight="false" outlineLevel="0" collapsed="false">
      <c r="B247" s="28" t="n">
        <v>238</v>
      </c>
      <c r="C247" s="9" t="s">
        <v>623</v>
      </c>
      <c r="D247" s="9" t="s">
        <v>682</v>
      </c>
      <c r="E247" s="10" t="n">
        <v>0.0035</v>
      </c>
      <c r="F247" s="53" t="n">
        <f aca="false">Review!$G$20</f>
        <v>0.00345252769113977</v>
      </c>
      <c r="G247" s="44" t="n">
        <f aca="false">IFERROR(IF(ISNUMBER(F247),F247-E247,"n/a"),"n/a")</f>
        <v>-4.74723088602297E-005</v>
      </c>
      <c r="H247" s="54" t="n">
        <v>5.0001E-005</v>
      </c>
      <c r="I247" s="52" t="str">
        <f aca="false">IFERROR(IF(ISNUMBER(F247),IF(ABS(F247-E247)&lt;=H247,"PASS","FAIL"),"FAIL"),"FAIL")</f>
        <v>PASS</v>
      </c>
    </row>
    <row r="248" customFormat="false" ht="15" hidden="false" customHeight="false" outlineLevel="0" collapsed="false">
      <c r="B248" s="28" t="n">
        <v>239</v>
      </c>
      <c r="C248" s="9" t="s">
        <v>623</v>
      </c>
      <c r="D248" s="9" t="s">
        <v>683</v>
      </c>
      <c r="E248" s="10" t="n">
        <v>0.0776</v>
      </c>
      <c r="F248" s="53" t="n">
        <f aca="false">Review!$E$20</f>
        <v>0.0776161128438713</v>
      </c>
      <c r="G248" s="44" t="n">
        <f aca="false">IFERROR(IF(ISNUMBER(F248),F248-E248,"n/a"),"n/a")</f>
        <v>1.61128438712632E-005</v>
      </c>
      <c r="H248" s="54" t="n">
        <v>5.0001E-005</v>
      </c>
      <c r="I248" s="52" t="str">
        <f aca="false">IFERROR(IF(ISNUMBER(F248),IF(ABS(F248-E248)&lt;=H248,"PASS","FAIL"),"FAIL"),"FAIL")</f>
        <v>PASS</v>
      </c>
    </row>
    <row r="249" customFormat="false" ht="15" hidden="false" customHeight="false" outlineLevel="0" collapsed="false">
      <c r="B249" s="28" t="n">
        <v>240</v>
      </c>
      <c r="C249" s="9" t="s">
        <v>623</v>
      </c>
      <c r="D249" s="9" t="s">
        <v>684</v>
      </c>
      <c r="E249" s="10" t="n">
        <v>0.09</v>
      </c>
      <c r="F249" s="53" t="n">
        <f aca="false">Review!$D$21</f>
        <v>0.09</v>
      </c>
      <c r="G249" s="44" t="n">
        <f aca="false">IFERROR(IF(ISNUMBER(F249),F249-E249,"n/a"),"n/a")</f>
        <v>0</v>
      </c>
      <c r="H249" s="54" t="n">
        <v>5.0001E-005</v>
      </c>
      <c r="I249" s="52" t="str">
        <f aca="false">IFERROR(IF(ISNUMBER(F249),IF(ABS(F249-E249)&lt;=H249,"PASS","FAIL"),"FAIL"),"FAIL")</f>
        <v>PASS</v>
      </c>
    </row>
    <row r="250" customFormat="false" ht="15" hidden="false" customHeight="false" outlineLevel="0" collapsed="false">
      <c r="B250" s="28" t="n">
        <v>241</v>
      </c>
      <c r="C250" s="9" t="s">
        <v>623</v>
      </c>
      <c r="D250" s="9" t="s">
        <v>685</v>
      </c>
      <c r="E250" s="55" t="n">
        <v>20987</v>
      </c>
      <c r="F250" s="43" t="n">
        <f aca="false">Review!$F$21</f>
        <v>20986.5480150429</v>
      </c>
      <c r="G250" s="44" t="n">
        <f aca="false">IFERROR(IF(ISNUMBER(F250),F250-E250,"n/a"),"n/a")</f>
        <v>-0.451984957107925</v>
      </c>
      <c r="H250" s="54" t="n">
        <v>0.500000001</v>
      </c>
      <c r="I250" s="52" t="str">
        <f aca="false">IFERROR(IF(ISNUMBER(F250),IF(ABS(F250-E250)&lt;=H250,"PASS","FAIL"),"FAIL"),"FAIL")</f>
        <v>PASS</v>
      </c>
    </row>
    <row r="251" customFormat="false" ht="15" hidden="false" customHeight="false" outlineLevel="0" collapsed="false">
      <c r="B251" s="28" t="n">
        <v>242</v>
      </c>
      <c r="C251" s="9" t="s">
        <v>623</v>
      </c>
      <c r="D251" s="9" t="s">
        <v>686</v>
      </c>
      <c r="E251" s="10" t="n">
        <v>0.0032</v>
      </c>
      <c r="F251" s="53" t="n">
        <f aca="false">Review!$G$21</f>
        <v>0.00323618311933201</v>
      </c>
      <c r="G251" s="44" t="n">
        <f aca="false">IFERROR(IF(ISNUMBER(F251),F251-E251,"n/a"),"n/a")</f>
        <v>3.61831193320091E-005</v>
      </c>
      <c r="H251" s="54" t="n">
        <v>5.0001E-005</v>
      </c>
      <c r="I251" s="52" t="str">
        <f aca="false">IFERROR(IF(ISNUMBER(F251),IF(ABS(F251-E251)&lt;=H251,"PASS","FAIL"),"FAIL"),"FAIL")</f>
        <v>PASS</v>
      </c>
    </row>
    <row r="252" customFormat="false" ht="15" hidden="false" customHeight="false" outlineLevel="0" collapsed="false">
      <c r="B252" s="28" t="n">
        <v>243</v>
      </c>
      <c r="C252" s="9" t="s">
        <v>623</v>
      </c>
      <c r="D252" s="9" t="s">
        <v>687</v>
      </c>
      <c r="E252" s="10" t="n">
        <v>0.0738</v>
      </c>
      <c r="F252" s="53" t="n">
        <f aca="false">Review!$E$21</f>
        <v>0.07381908440334</v>
      </c>
      <c r="G252" s="44" t="n">
        <f aca="false">IFERROR(IF(ISNUMBER(F252),F252-E252,"n/a"),"n/a")</f>
        <v>1.90844033399473E-005</v>
      </c>
      <c r="H252" s="54" t="n">
        <v>5.0001E-005</v>
      </c>
      <c r="I252" s="52" t="str">
        <f aca="false">IFERROR(IF(ISNUMBER(F252),IF(ABS(F252-E252)&lt;=H252,"PASS","FAIL"),"FAIL"),"FAIL")</f>
        <v>PASS</v>
      </c>
    </row>
    <row r="253" customFormat="false" ht="15" hidden="false" customHeight="false" outlineLevel="0" collapsed="false">
      <c r="B253" s="28" t="n">
        <v>244</v>
      </c>
      <c r="C253" s="9" t="s">
        <v>623</v>
      </c>
      <c r="D253" s="9" t="s">
        <v>688</v>
      </c>
      <c r="E253" s="10" t="n">
        <v>0.04</v>
      </c>
      <c r="F253" s="53" t="n">
        <f aca="false">Review!$D$22</f>
        <v>0.04</v>
      </c>
      <c r="G253" s="44" t="n">
        <f aca="false">IFERROR(IF(ISNUMBER(F253),F253-E253,"n/a"),"n/a")</f>
        <v>0</v>
      </c>
      <c r="H253" s="54" t="n">
        <v>5.0001E-005</v>
      </c>
      <c r="I253" s="52" t="str">
        <f aca="false">IFERROR(IF(ISNUMBER(F253),IF(ABS(F253-E253)&lt;=H253,"PASS","FAIL"),"FAIL"),"FAIL")</f>
        <v>PASS</v>
      </c>
    </row>
    <row r="254" customFormat="false" ht="15" hidden="false" customHeight="false" outlineLevel="0" collapsed="false">
      <c r="B254" s="28" t="n">
        <v>245</v>
      </c>
      <c r="C254" s="9" t="s">
        <v>623</v>
      </c>
      <c r="D254" s="9" t="s">
        <v>689</v>
      </c>
      <c r="E254" s="55" t="n">
        <v>6240</v>
      </c>
      <c r="F254" s="43" t="n">
        <f aca="false">Review!$F$22</f>
        <v>6240</v>
      </c>
      <c r="G254" s="44" t="n">
        <f aca="false">IFERROR(IF(ISNUMBER(F254),F254-E254,"n/a"),"n/a")</f>
        <v>0</v>
      </c>
      <c r="H254" s="54" t="n">
        <v>0.500000001</v>
      </c>
      <c r="I254" s="52" t="str">
        <f aca="false">IFERROR(IF(ISNUMBER(F254),IF(ABS(F254-E254)&lt;=H254,"PASS","FAIL"),"FAIL"),"FAIL")</f>
        <v>PASS</v>
      </c>
    </row>
    <row r="255" customFormat="false" ht="15" hidden="false" customHeight="false" outlineLevel="0" collapsed="false">
      <c r="B255" s="28" t="n">
        <v>246</v>
      </c>
      <c r="C255" s="9" t="s">
        <v>623</v>
      </c>
      <c r="D255" s="9" t="s">
        <v>690</v>
      </c>
      <c r="E255" s="10" t="n">
        <v>-0.0001</v>
      </c>
      <c r="F255" s="53" t="n">
        <f aca="false">Review!$G$22</f>
        <v>-6.28170400000024E-005</v>
      </c>
      <c r="G255" s="44" t="n">
        <f aca="false">IFERROR(IF(ISNUMBER(F255),F255-E255,"n/a"),"n/a")</f>
        <v>3.71829599999976E-005</v>
      </c>
      <c r="H255" s="54" t="n">
        <v>5.0001E-005</v>
      </c>
      <c r="I255" s="52" t="str">
        <f aca="false">IFERROR(IF(ISNUMBER(F255),IF(ABS(F255-E255)&lt;=H255,"PASS","FAIL"),"FAIL"),"FAIL")</f>
        <v>PASS</v>
      </c>
    </row>
    <row r="256" customFormat="false" ht="15" hidden="false" customHeight="false" outlineLevel="0" collapsed="false">
      <c r="B256" s="28" t="n">
        <v>247</v>
      </c>
      <c r="C256" s="9" t="s">
        <v>623</v>
      </c>
      <c r="D256" s="9" t="s">
        <v>691</v>
      </c>
      <c r="E256" s="10" t="n">
        <v>0.0406</v>
      </c>
      <c r="F256" s="53" t="n">
        <f aca="false">Review!$E$22</f>
        <v>0.04060401</v>
      </c>
      <c r="G256" s="44" t="n">
        <f aca="false">IFERROR(IF(ISNUMBER(F256),F256-E256,"n/a"),"n/a")</f>
        <v>4.01000000002649E-006</v>
      </c>
      <c r="H256" s="54" t="n">
        <v>5.0001E-005</v>
      </c>
      <c r="I256" s="52" t="str">
        <f aca="false">IFERROR(IF(ISNUMBER(F256),IF(ABS(F256-E256)&lt;=H256,"PASS","FAIL"),"FAIL"),"FAIL")</f>
        <v>PASS</v>
      </c>
    </row>
    <row r="257" customFormat="false" ht="15" hidden="false" customHeight="false" outlineLevel="0" collapsed="false">
      <c r="B257" s="28" t="n">
        <v>248</v>
      </c>
      <c r="C257" s="9" t="s">
        <v>623</v>
      </c>
      <c r="D257" s="9" t="s">
        <v>692</v>
      </c>
      <c r="E257" s="10" t="n">
        <v>0.0168</v>
      </c>
      <c r="F257" s="53" t="n">
        <f aca="false">Review!$G$23</f>
        <v>0.0167776848301845</v>
      </c>
      <c r="G257" s="44" t="n">
        <f aca="false">IFERROR(IF(ISNUMBER(F257),F257-E257,"n/a"),"n/a")</f>
        <v>-2.23151698154934E-005</v>
      </c>
      <c r="H257" s="54" t="n">
        <v>5.0001E-005</v>
      </c>
      <c r="I257" s="52" t="str">
        <f aca="false">IFERROR(IF(ISNUMBER(F257),IF(ABS(F257-E257)&lt;=H257,"PASS","FAIL"),"FAIL"),"FAIL")</f>
        <v>PASS</v>
      </c>
    </row>
    <row r="258" customFormat="false" ht="15" hidden="false" customHeight="false" outlineLevel="0" collapsed="false">
      <c r="B258" s="28" t="n">
        <v>249</v>
      </c>
      <c r="C258" s="9" t="s">
        <v>623</v>
      </c>
      <c r="D258" s="9" t="s">
        <v>693</v>
      </c>
      <c r="E258" s="10" t="n">
        <v>0.0144</v>
      </c>
      <c r="F258" s="53" t="n">
        <f aca="false">Review!$G$24</f>
        <v>0.0143706307307263</v>
      </c>
      <c r="G258" s="44" t="n">
        <f aca="false">IFERROR(IF(ISNUMBER(F258),F258-E258,"n/a"),"n/a")</f>
        <v>-2.9369269273747E-005</v>
      </c>
      <c r="H258" s="54" t="n">
        <v>5.0001E-005</v>
      </c>
      <c r="I258" s="52" t="str">
        <f aca="false">IFERROR(IF(ISNUMBER(F258),IF(ABS(F258-E258)&lt;=H258,"PASS","FAIL"),"FAIL"),"FAIL")</f>
        <v>PASS</v>
      </c>
    </row>
    <row r="259" customFormat="false" ht="15" hidden="false" customHeight="false" outlineLevel="0" collapsed="false">
      <c r="B259" s="28" t="n">
        <v>250</v>
      </c>
      <c r="C259" s="9" t="s">
        <v>623</v>
      </c>
      <c r="D259" s="9" t="s">
        <v>694</v>
      </c>
      <c r="E259" s="21" t="n">
        <v>0.073</v>
      </c>
      <c r="F259" s="57" t="n">
        <f aca="false">Review!$G$26</f>
        <v>0.0735</v>
      </c>
      <c r="G259" s="44" t="n">
        <f aca="false">IFERROR(IF(ISNUMBER(F259),F259-E259,"n/a"),"n/a")</f>
        <v>0.000500000000000014</v>
      </c>
      <c r="H259" s="54" t="n">
        <v>0.000500001</v>
      </c>
      <c r="I259" s="52" t="str">
        <f aca="false">IFERROR(IF(ISNUMBER(F259),IF(ABS(F259-E259)&lt;=H259,"PASS","FAIL"),"FAIL"),"FAIL")</f>
        <v>PASS</v>
      </c>
    </row>
    <row r="260" customFormat="false" ht="15" hidden="false" customHeight="false" outlineLevel="0" collapsed="false">
      <c r="B260" s="28" t="n">
        <v>251</v>
      </c>
      <c r="C260" s="9" t="s">
        <v>623</v>
      </c>
      <c r="D260" s="9" t="s">
        <v>695</v>
      </c>
      <c r="E260" s="10" t="n">
        <v>0.0118</v>
      </c>
      <c r="F260" s="53" t="n">
        <f aca="false">Review!$G$27</f>
        <v>0.011798104163377</v>
      </c>
      <c r="G260" s="44" t="n">
        <f aca="false">IFERROR(IF(ISNUMBER(F260),F260-E260,"n/a"),"n/a")</f>
        <v>-1.89583662296364E-006</v>
      </c>
      <c r="H260" s="54" t="n">
        <v>5.0001E-005</v>
      </c>
      <c r="I260" s="52" t="str">
        <f aca="false">IFERROR(IF(ISNUMBER(F260),IF(ABS(F260-E260)&lt;=H260,"PASS","FAIL"),"FAIL"),"FAIL")</f>
        <v>PASS</v>
      </c>
    </row>
    <row r="261" customFormat="false" ht="15" hidden="false" customHeight="false" outlineLevel="0" collapsed="false">
      <c r="B261" s="28" t="n">
        <v>252</v>
      </c>
      <c r="C261" s="9" t="s">
        <v>623</v>
      </c>
      <c r="D261" s="9" t="s">
        <v>696</v>
      </c>
      <c r="E261" s="12" t="n">
        <v>0.7</v>
      </c>
      <c r="F261" s="17" t="n">
        <f aca="false">Review!$G$28</f>
        <v>0.703202157078981</v>
      </c>
      <c r="G261" s="44" t="n">
        <f aca="false">IFERROR(IF(ISNUMBER(F261),F261-E261,"n/a"),"n/a")</f>
        <v>0.00320215707898075</v>
      </c>
      <c r="H261" s="54" t="n">
        <v>0.005000001</v>
      </c>
      <c r="I261" s="52" t="str">
        <f aca="false">IFERROR(IF(ISNUMBER(F261),IF(ABS(F261-E261)&lt;=H261,"PASS","FAIL"),"FAIL"),"FAIL")</f>
        <v>PASS</v>
      </c>
    </row>
    <row r="262" customFormat="false" ht="15" hidden="false" customHeight="false" outlineLevel="0" collapsed="false">
      <c r="B262" s="28" t="n">
        <v>253</v>
      </c>
      <c r="C262" s="9" t="s">
        <v>623</v>
      </c>
      <c r="D262" s="9" t="s">
        <v>697</v>
      </c>
      <c r="E262" s="10" t="n">
        <v>0.0572</v>
      </c>
      <c r="F262" s="53" t="n">
        <f aca="false">Review!$C$33</f>
        <v>0.0571870144159075</v>
      </c>
      <c r="G262" s="44" t="n">
        <f aca="false">IFERROR(IF(ISNUMBER(F262),F262-E262,"n/a"),"n/a")</f>
        <v>-1.29855840925452E-005</v>
      </c>
      <c r="H262" s="54" t="n">
        <v>5.0001E-005</v>
      </c>
      <c r="I262" s="52" t="str">
        <f aca="false">IFERROR(IF(ISNUMBER(F262),IF(ABS(F262-E262)&lt;=H262,"PASS","FAIL"),"FAIL"),"FAIL")</f>
        <v>PASS</v>
      </c>
    </row>
    <row r="263" customFormat="false" ht="15" hidden="false" customHeight="false" outlineLevel="0" collapsed="false">
      <c r="B263" s="28" t="n">
        <v>254</v>
      </c>
      <c r="C263" s="9" t="s">
        <v>623</v>
      </c>
      <c r="D263" s="9" t="s">
        <v>698</v>
      </c>
      <c r="E263" s="10" t="n">
        <v>0.0738</v>
      </c>
      <c r="F263" s="53" t="n">
        <f aca="false">Review!$C$35</f>
        <v>0.07381908440334</v>
      </c>
      <c r="G263" s="44" t="n">
        <f aca="false">IFERROR(IF(ISNUMBER(F263),F263-E263,"n/a"),"n/a")</f>
        <v>1.90844033399473E-005</v>
      </c>
      <c r="H263" s="54" t="n">
        <v>5.0001E-005</v>
      </c>
      <c r="I263" s="52" t="str">
        <f aca="false">IFERROR(IF(ISNUMBER(F263),IF(ABS(F263-E263)&lt;=H263,"PASS","FAIL"),"FAIL"),"FAIL")</f>
        <v>PASS</v>
      </c>
    </row>
    <row r="264" customFormat="false" ht="15" hidden="false" customHeight="false" outlineLevel="0" collapsed="false">
      <c r="B264" s="28" t="n">
        <v>255</v>
      </c>
      <c r="C264" s="9" t="s">
        <v>623</v>
      </c>
      <c r="D264" s="9" t="s">
        <v>699</v>
      </c>
      <c r="E264" s="10" t="n">
        <v>0.0406</v>
      </c>
      <c r="F264" s="53" t="n">
        <f aca="false">Review!$C$36</f>
        <v>0.04060401</v>
      </c>
      <c r="G264" s="44" t="n">
        <f aca="false">IFERROR(IF(ISNUMBER(F264),F264-E264,"n/a"),"n/a")</f>
        <v>4.01000000002649E-006</v>
      </c>
      <c r="H264" s="54" t="n">
        <v>5.0001E-005</v>
      </c>
      <c r="I264" s="52" t="str">
        <f aca="false">IFERROR(IF(ISNUMBER(F264),IF(ABS(F264-E264)&lt;=H264,"PASS","FAIL"),"FAIL"),"FAIL")</f>
        <v>PASS</v>
      </c>
    </row>
    <row r="265" customFormat="false" ht="15" hidden="false" customHeight="false" outlineLevel="0" collapsed="false">
      <c r="B265" s="28" t="n">
        <v>256</v>
      </c>
      <c r="C265" s="9" t="s">
        <v>623</v>
      </c>
      <c r="D265" s="9" t="s">
        <v>700</v>
      </c>
      <c r="E265" s="10" t="n">
        <v>0.0522</v>
      </c>
      <c r="F265" s="53" t="n">
        <f aca="false">Review!$C$31</f>
        <v>0.0521866825360082</v>
      </c>
      <c r="G265" s="44" t="n">
        <f aca="false">IFERROR(IF(ISNUMBER(F265),F265-E265,"n/a"),"n/a")</f>
        <v>-1.33174639917813E-005</v>
      </c>
      <c r="H265" s="54" t="n">
        <v>5.0001E-005</v>
      </c>
      <c r="I265" s="52" t="str">
        <f aca="false">IFERROR(IF(ISNUMBER(F265),IF(ABS(F265-E265)&lt;=H265,"PASS","FAIL"),"FAIL"),"FAIL")</f>
        <v>PASS</v>
      </c>
    </row>
    <row r="266" customFormat="false" ht="15" hidden="false" customHeight="false" outlineLevel="0" collapsed="false">
      <c r="B266" s="28" t="n">
        <v>257</v>
      </c>
      <c r="C266" s="9" t="s">
        <v>623</v>
      </c>
      <c r="D266" s="9" t="s">
        <v>701</v>
      </c>
      <c r="E266" s="10" t="n">
        <v>0.0422</v>
      </c>
      <c r="F266" s="53" t="n">
        <f aca="false">Review!$C$32</f>
        <v>0.0421815773308225</v>
      </c>
      <c r="G266" s="44" t="n">
        <f aca="false">IFERROR(IF(ISNUMBER(F266),F266-E266,"n/a"),"n/a")</f>
        <v>-1.84226691774814E-005</v>
      </c>
      <c r="H266" s="54" t="n">
        <v>5.0001E-005</v>
      </c>
      <c r="I266" s="52" t="str">
        <f aca="false">IFERROR(IF(ISNUMBER(F266),IF(ABS(F266-E266)&lt;=H266,"PASS","FAIL"),"FAIL"),"FAIL")</f>
        <v>PASS</v>
      </c>
    </row>
    <row r="267" customFormat="false" ht="15" hidden="false" customHeight="false" outlineLevel="0" collapsed="false">
      <c r="B267" s="28" t="n">
        <v>258</v>
      </c>
      <c r="C267" s="9" t="s">
        <v>623</v>
      </c>
      <c r="D267" s="9" t="s">
        <v>702</v>
      </c>
      <c r="E267" s="10" t="n">
        <v>0.0903</v>
      </c>
      <c r="F267" s="53" t="n">
        <f aca="false">Review!$C$34</f>
        <v>0.0903440091851642</v>
      </c>
      <c r="G267" s="44" t="n">
        <f aca="false">IFERROR(IF(ISNUMBER(F267),F267-E267,"n/a"),"n/a")</f>
        <v>4.40091851641733E-005</v>
      </c>
      <c r="H267" s="54" t="n">
        <v>5.0001E-005</v>
      </c>
      <c r="I267" s="52" t="str">
        <f aca="false">IFERROR(IF(ISNUMBER(F267),IF(ABS(F267-E267)&lt;=H267,"PASS","FAIL"),"FAIL"),"FAIL")</f>
        <v>PASS</v>
      </c>
    </row>
    <row r="268" customFormat="false" ht="30" hidden="false" customHeight="true" outlineLevel="0" collapsed="false">
      <c r="B268" s="28" t="n">
        <v>259</v>
      </c>
      <c r="C268" s="9" t="s">
        <v>623</v>
      </c>
      <c r="D268" s="58" t="s">
        <v>703</v>
      </c>
      <c r="E268" s="47" t="s">
        <v>531</v>
      </c>
      <c r="F268" s="59" t="str">
        <f aca="false">IFERROR(IF(AND(Review!$C$31&gt;Allocation!$G$27,Review!$C$36&gt;Allocation!$G$32),"holds","does not hold"),"error")</f>
        <v>holds</v>
      </c>
      <c r="G268" s="9"/>
      <c r="H268" s="9"/>
      <c r="I268" s="52" t="str">
        <f aca="false">IFERROR(IF(AND(Review!$C$31&gt;Allocation!$G$27,Review!$C$36&gt;Allocation!$G$32),"PASS","FAIL"),"FAIL")</f>
        <v>PASS</v>
      </c>
    </row>
    <row r="269" customFormat="false" ht="15" hidden="false" customHeight="false" outlineLevel="0" collapsed="false">
      <c r="B269" s="28" t="n">
        <v>260</v>
      </c>
      <c r="C269" s="9" t="s">
        <v>704</v>
      </c>
      <c r="D269" s="9" t="s">
        <v>705</v>
      </c>
      <c r="E269" s="10" t="n">
        <v>0.0602</v>
      </c>
      <c r="F269" s="53" t="n">
        <f aca="false">Stress_Test!$C$6</f>
        <v>0.0602132863026841</v>
      </c>
      <c r="G269" s="44" t="n">
        <f aca="false">IFERROR(IF(ISNUMBER(F269),F269-E269,"n/a"),"n/a")</f>
        <v>1.32863026840804E-005</v>
      </c>
      <c r="H269" s="54" t="n">
        <v>5.0001E-005</v>
      </c>
      <c r="I269" s="52" t="str">
        <f aca="false">IFERROR(IF(ISNUMBER(F269),IF(ABS(F269-E269)&lt;=H269,"PASS","FAIL"),"FAIL"),"FAIL")</f>
        <v>PASS</v>
      </c>
    </row>
    <row r="270" customFormat="false" ht="15" hidden="false" customHeight="false" outlineLevel="0" collapsed="false">
      <c r="B270" s="28" t="n">
        <v>261</v>
      </c>
      <c r="C270" s="9" t="s">
        <v>704</v>
      </c>
      <c r="D270" s="9" t="s">
        <v>706</v>
      </c>
      <c r="E270" s="55" t="n">
        <v>85259</v>
      </c>
      <c r="F270" s="43" t="n">
        <f aca="false">Stress_Test!$J$6</f>
        <v>85259.1265641445</v>
      </c>
      <c r="G270" s="44" t="n">
        <f aca="false">IFERROR(IF(ISNUMBER(F270),F270-E270,"n/a"),"n/a")</f>
        <v>0.126564144506119</v>
      </c>
      <c r="H270" s="54" t="n">
        <v>0.500000001</v>
      </c>
      <c r="I270" s="52" t="str">
        <f aca="false">IFERROR(IF(ISNUMBER(F270),IF(ABS(F270-E270)&lt;=H270,"PASS","FAIL"),"FAIL"),"FAIL")</f>
        <v>PASS</v>
      </c>
    </row>
    <row r="271" customFormat="false" ht="15" hidden="false" customHeight="false" outlineLevel="0" collapsed="false">
      <c r="B271" s="28" t="n">
        <v>262</v>
      </c>
      <c r="C271" s="9" t="s">
        <v>704</v>
      </c>
      <c r="D271" s="9" t="s">
        <v>707</v>
      </c>
      <c r="E271" s="10" t="n">
        <v>0.0522</v>
      </c>
      <c r="F271" s="53" t="n">
        <f aca="false">Stress_Test!$D$6</f>
        <v>0.0521866825360082</v>
      </c>
      <c r="G271" s="44" t="n">
        <f aca="false">IFERROR(IF(ISNUMBER(F271),F271-E271,"n/a"),"n/a")</f>
        <v>-1.33174639917813E-005</v>
      </c>
      <c r="H271" s="54" t="n">
        <v>5.0001E-005</v>
      </c>
      <c r="I271" s="52" t="str">
        <f aca="false">IFERROR(IF(ISNUMBER(F271),IF(ABS(F271-E271)&lt;=H271,"PASS","FAIL"),"FAIL"),"FAIL")</f>
        <v>PASS</v>
      </c>
    </row>
    <row r="272" customFormat="false" ht="15" hidden="false" customHeight="false" outlineLevel="0" collapsed="false">
      <c r="B272" s="28" t="n">
        <v>263</v>
      </c>
      <c r="C272" s="9" t="s">
        <v>704</v>
      </c>
      <c r="D272" s="9" t="s">
        <v>708</v>
      </c>
      <c r="E272" s="10" t="n">
        <v>0.0422</v>
      </c>
      <c r="F272" s="53" t="n">
        <f aca="false">Stress_Test!$E$6</f>
        <v>0.0421815773308225</v>
      </c>
      <c r="G272" s="44" t="n">
        <f aca="false">IFERROR(IF(ISNUMBER(F272),F272-E272,"n/a"),"n/a")</f>
        <v>-1.84226691774814E-005</v>
      </c>
      <c r="H272" s="54" t="n">
        <v>5.0001E-005</v>
      </c>
      <c r="I272" s="52" t="str">
        <f aca="false">IFERROR(IF(ISNUMBER(F272),IF(ABS(F272-E272)&lt;=H272,"PASS","FAIL"),"FAIL"),"FAIL")</f>
        <v>PASS</v>
      </c>
    </row>
    <row r="273" customFormat="false" ht="15" hidden="false" customHeight="false" outlineLevel="0" collapsed="false">
      <c r="B273" s="28" t="n">
        <v>264</v>
      </c>
      <c r="C273" s="9" t="s">
        <v>704</v>
      </c>
      <c r="D273" s="9" t="s">
        <v>709</v>
      </c>
      <c r="E273" s="10" t="n">
        <v>0.0572</v>
      </c>
      <c r="F273" s="53" t="n">
        <f aca="false">Stress_Test!$F$6</f>
        <v>0.0571870144159075</v>
      </c>
      <c r="G273" s="44" t="n">
        <f aca="false">IFERROR(IF(ISNUMBER(F273),F273-E273,"n/a"),"n/a")</f>
        <v>-1.29855840925452E-005</v>
      </c>
      <c r="H273" s="54" t="n">
        <v>5.0001E-005</v>
      </c>
      <c r="I273" s="52" t="str">
        <f aca="false">IFERROR(IF(ISNUMBER(F273),IF(ABS(F273-E273)&lt;=H273,"PASS","FAIL"),"FAIL"),"FAIL")</f>
        <v>PASS</v>
      </c>
    </row>
    <row r="274" customFormat="false" ht="15" hidden="false" customHeight="false" outlineLevel="0" collapsed="false">
      <c r="B274" s="28" t="n">
        <v>265</v>
      </c>
      <c r="C274" s="9" t="s">
        <v>704</v>
      </c>
      <c r="D274" s="9" t="s">
        <v>710</v>
      </c>
      <c r="E274" s="10" t="n">
        <v>0.0903</v>
      </c>
      <c r="F274" s="53" t="n">
        <f aca="false">Stress_Test!$G$6</f>
        <v>0.0903440091851642</v>
      </c>
      <c r="G274" s="44" t="n">
        <f aca="false">IFERROR(IF(ISNUMBER(F274),F274-E274,"n/a"),"n/a")</f>
        <v>4.40091851641733E-005</v>
      </c>
      <c r="H274" s="54" t="n">
        <v>5.0001E-005</v>
      </c>
      <c r="I274" s="52" t="str">
        <f aca="false">IFERROR(IF(ISNUMBER(F274),IF(ABS(F274-E274)&lt;=H274,"PASS","FAIL"),"FAIL"),"FAIL")</f>
        <v>PASS</v>
      </c>
    </row>
    <row r="275" customFormat="false" ht="15" hidden="false" customHeight="false" outlineLevel="0" collapsed="false">
      <c r="B275" s="28" t="n">
        <v>266</v>
      </c>
      <c r="C275" s="9" t="s">
        <v>704</v>
      </c>
      <c r="D275" s="9" t="s">
        <v>711</v>
      </c>
      <c r="E275" s="10" t="n">
        <v>0.0738</v>
      </c>
      <c r="F275" s="53" t="n">
        <f aca="false">Stress_Test!$H$6</f>
        <v>0.07381908440334</v>
      </c>
      <c r="G275" s="44" t="n">
        <f aca="false">IFERROR(IF(ISNUMBER(F275),F275-E275,"n/a"),"n/a")</f>
        <v>1.90844033399473E-005</v>
      </c>
      <c r="H275" s="54" t="n">
        <v>5.0001E-005</v>
      </c>
      <c r="I275" s="52" t="str">
        <f aca="false">IFERROR(IF(ISNUMBER(F275),IF(ABS(F275-E275)&lt;=H275,"PASS","FAIL"),"FAIL"),"FAIL")</f>
        <v>PASS</v>
      </c>
    </row>
    <row r="276" customFormat="false" ht="15" hidden="false" customHeight="false" outlineLevel="0" collapsed="false">
      <c r="B276" s="28" t="n">
        <v>267</v>
      </c>
      <c r="C276" s="9" t="s">
        <v>704</v>
      </c>
      <c r="D276" s="9" t="s">
        <v>712</v>
      </c>
      <c r="E276" s="10" t="n">
        <v>0.0406</v>
      </c>
      <c r="F276" s="53" t="n">
        <f aca="false">Stress_Test!$I$6</f>
        <v>0.04060401</v>
      </c>
      <c r="G276" s="44" t="n">
        <f aca="false">IFERROR(IF(ISNUMBER(F276),F276-E276,"n/a"),"n/a")</f>
        <v>4.01000000002649E-006</v>
      </c>
      <c r="H276" s="54" t="n">
        <v>5.0001E-005</v>
      </c>
      <c r="I276" s="52" t="str">
        <f aca="false">IFERROR(IF(ISNUMBER(F276),IF(ABS(F276-E276)&lt;=H276,"PASS","FAIL"),"FAIL"),"FAIL")</f>
        <v>PASS</v>
      </c>
    </row>
    <row r="277" customFormat="false" ht="15" hidden="false" customHeight="false" outlineLevel="0" collapsed="false">
      <c r="B277" s="28" t="n">
        <v>268</v>
      </c>
      <c r="C277" s="9" t="s">
        <v>704</v>
      </c>
      <c r="D277" s="9" t="s">
        <v>713</v>
      </c>
      <c r="E277" s="10" t="n">
        <v>0.0709</v>
      </c>
      <c r="F277" s="53" t="n">
        <f aca="false">Stress_Test!$C$7</f>
        <v>0.070949174106828</v>
      </c>
      <c r="G277" s="44" t="n">
        <f aca="false">IFERROR(IF(ISNUMBER(F277),F277-E277,"n/a"),"n/a")</f>
        <v>4.917410682799E-005</v>
      </c>
      <c r="H277" s="54" t="n">
        <v>5.0001E-005</v>
      </c>
      <c r="I277" s="52" t="str">
        <f aca="false">IFERROR(IF(ISNUMBER(F277),IF(ABS(F277-E277)&lt;=H277,"PASS","FAIL"),"FAIL"),"FAIL")</f>
        <v>PASS</v>
      </c>
    </row>
    <row r="278" customFormat="false" ht="15" hidden="false" customHeight="false" outlineLevel="0" collapsed="false">
      <c r="B278" s="28" t="n">
        <v>269</v>
      </c>
      <c r="C278" s="9" t="s">
        <v>704</v>
      </c>
      <c r="D278" s="9" t="s">
        <v>714</v>
      </c>
      <c r="E278" s="55" t="n">
        <v>100844</v>
      </c>
      <c r="F278" s="43" t="n">
        <f aca="false">Stress_Test!$J$7</f>
        <v>100844.282996609</v>
      </c>
      <c r="G278" s="44" t="n">
        <f aca="false">IFERROR(IF(ISNUMBER(F278),F278-E278,"n/a"),"n/a")</f>
        <v>0.28299660916673</v>
      </c>
      <c r="H278" s="54" t="n">
        <v>0.500000001</v>
      </c>
      <c r="I278" s="52" t="str">
        <f aca="false">IFERROR(IF(ISNUMBER(F278),IF(ABS(F278-E278)&lt;=H278,"PASS","FAIL"),"FAIL"),"FAIL")</f>
        <v>PASS</v>
      </c>
    </row>
    <row r="279" customFormat="false" ht="15" hidden="false" customHeight="false" outlineLevel="0" collapsed="false">
      <c r="B279" s="28" t="n">
        <v>270</v>
      </c>
      <c r="C279" s="9" t="s">
        <v>704</v>
      </c>
      <c r="D279" s="9" t="s">
        <v>715</v>
      </c>
      <c r="E279" s="10" t="n">
        <v>0.0447</v>
      </c>
      <c r="F279" s="53" t="n">
        <f aca="false">Stress_Test!$D$7</f>
        <v>0.0447056272742963</v>
      </c>
      <c r="G279" s="44" t="n">
        <f aca="false">IFERROR(IF(ISNUMBER(F279),F279-E279,"n/a"),"n/a")</f>
        <v>5.62727429628124E-006</v>
      </c>
      <c r="H279" s="54" t="n">
        <v>5.0001E-005</v>
      </c>
      <c r="I279" s="52" t="str">
        <f aca="false">IFERROR(IF(ISNUMBER(F279),IF(ABS(F279-E279)&lt;=H279,"PASS","FAIL"),"FAIL"),"FAIL")</f>
        <v>PASS</v>
      </c>
    </row>
    <row r="280" customFormat="false" ht="15" hidden="false" customHeight="false" outlineLevel="0" collapsed="false">
      <c r="B280" s="28" t="n">
        <v>271</v>
      </c>
      <c r="C280" s="9" t="s">
        <v>704</v>
      </c>
      <c r="D280" s="9" t="s">
        <v>716</v>
      </c>
      <c r="E280" s="10" t="n">
        <v>0.0318</v>
      </c>
      <c r="F280" s="53" t="n">
        <f aca="false">Stress_Test!$E$7</f>
        <v>0.0318075090856442</v>
      </c>
      <c r="G280" s="44" t="n">
        <f aca="false">IFERROR(IF(ISNUMBER(F280),F280-E280,"n/a"),"n/a")</f>
        <v>7.50908564422365E-006</v>
      </c>
      <c r="H280" s="54" t="n">
        <v>5.0001E-005</v>
      </c>
      <c r="I280" s="52" t="str">
        <f aca="false">IFERROR(IF(ISNUMBER(F280),IF(ABS(F280-E280)&lt;=H280,"PASS","FAIL"),"FAIL"),"FAIL")</f>
        <v>PASS</v>
      </c>
    </row>
    <row r="281" customFormat="false" ht="15" hidden="false" customHeight="false" outlineLevel="0" collapsed="false">
      <c r="B281" s="28" t="n">
        <v>272</v>
      </c>
      <c r="C281" s="9" t="s">
        <v>704</v>
      </c>
      <c r="D281" s="9" t="s">
        <v>717</v>
      </c>
      <c r="E281" s="10" t="n">
        <v>0.0745</v>
      </c>
      <c r="F281" s="53" t="n">
        <f aca="false">Stress_Test!$F$7</f>
        <v>0.0744950190553291</v>
      </c>
      <c r="G281" s="44" t="n">
        <f aca="false">IFERROR(IF(ISNUMBER(F281),F281-E281,"n/a"),"n/a")</f>
        <v>-4.98094467092647E-006</v>
      </c>
      <c r="H281" s="54" t="n">
        <v>5.0001E-005</v>
      </c>
      <c r="I281" s="52" t="str">
        <f aca="false">IFERROR(IF(ISNUMBER(F281),IF(ABS(F281-E281)&lt;=H281,"PASS","FAIL"),"FAIL"),"FAIL")</f>
        <v>PASS</v>
      </c>
    </row>
    <row r="282" customFormat="false" ht="15" hidden="false" customHeight="false" outlineLevel="0" collapsed="false">
      <c r="B282" s="28" t="n">
        <v>273</v>
      </c>
      <c r="C282" s="9" t="s">
        <v>704</v>
      </c>
      <c r="D282" s="9" t="s">
        <v>718</v>
      </c>
      <c r="E282" s="10" t="n">
        <v>0.129</v>
      </c>
      <c r="F282" s="53" t="n">
        <f aca="false">Stress_Test!$G$7</f>
        <v>0.128963159798274</v>
      </c>
      <c r="G282" s="44" t="n">
        <f aca="false">IFERROR(IF(ISNUMBER(F282),F282-E282,"n/a"),"n/a")</f>
        <v>-3.68402017263403E-005</v>
      </c>
      <c r="H282" s="54" t="n">
        <v>5.0001E-005</v>
      </c>
      <c r="I282" s="52" t="str">
        <f aca="false">IFERROR(IF(ISNUMBER(F282),IF(ABS(F282-E282)&lt;=H282,"PASS","FAIL"),"FAIL"),"FAIL")</f>
        <v>PASS</v>
      </c>
    </row>
    <row r="283" customFormat="false" ht="15" hidden="false" customHeight="false" outlineLevel="0" collapsed="false">
      <c r="B283" s="28" t="n">
        <v>274</v>
      </c>
      <c r="C283" s="9" t="s">
        <v>704</v>
      </c>
      <c r="D283" s="9" t="s">
        <v>719</v>
      </c>
      <c r="E283" s="10" t="n">
        <v>0.0887</v>
      </c>
      <c r="F283" s="53" t="n">
        <f aca="false">Stress_Test!$H$7</f>
        <v>0.08866358319116</v>
      </c>
      <c r="G283" s="44" t="n">
        <f aca="false">IFERROR(IF(ISNUMBER(F283),F283-E283,"n/a"),"n/a")</f>
        <v>-3.64168088400202E-005</v>
      </c>
      <c r="H283" s="54" t="n">
        <v>5.0001E-005</v>
      </c>
      <c r="I283" s="52" t="str">
        <f aca="false">IFERROR(IF(ISNUMBER(F283),IF(ABS(F283-E283)&lt;=H283,"PASS","FAIL"),"FAIL"),"FAIL")</f>
        <v>PASS</v>
      </c>
    </row>
    <row r="284" customFormat="false" ht="15" hidden="false" customHeight="false" outlineLevel="0" collapsed="false">
      <c r="B284" s="28" t="n">
        <v>275</v>
      </c>
      <c r="C284" s="9" t="s">
        <v>704</v>
      </c>
      <c r="D284" s="9" t="s">
        <v>720</v>
      </c>
      <c r="E284" s="10" t="n">
        <v>0.0614</v>
      </c>
      <c r="F284" s="53" t="n">
        <f aca="false">Stress_Test!$I$7</f>
        <v>0.0613635506249997</v>
      </c>
      <c r="G284" s="44" t="n">
        <f aca="false">IFERROR(IF(ISNUMBER(F284),F284-E284,"n/a"),"n/a")</f>
        <v>-3.64493750003511E-005</v>
      </c>
      <c r="H284" s="54" t="n">
        <v>5.0001E-005</v>
      </c>
      <c r="I284" s="52" t="str">
        <f aca="false">IFERROR(IF(ISNUMBER(F284),IF(ABS(F284-E284)&lt;=H284,"PASS","FAIL"),"FAIL"),"FAIL")</f>
        <v>PASS</v>
      </c>
    </row>
    <row r="285" customFormat="false" ht="15" hidden="false" customHeight="false" outlineLevel="0" collapsed="false">
      <c r="B285" s="28" t="n">
        <v>276</v>
      </c>
      <c r="C285" s="9" t="s">
        <v>704</v>
      </c>
      <c r="D285" s="9" t="s">
        <v>721</v>
      </c>
      <c r="E285" s="10" t="n">
        <v>0.0266</v>
      </c>
      <c r="F285" s="53" t="n">
        <f aca="false">Stress_Test!$C$8</f>
        <v>0.0265723127551649</v>
      </c>
      <c r="G285" s="44" t="n">
        <f aca="false">IFERROR(IF(ISNUMBER(F285),F285-E285,"n/a"),"n/a")</f>
        <v>-2.76872448350812E-005</v>
      </c>
      <c r="H285" s="54" t="n">
        <v>5.0001E-005</v>
      </c>
      <c r="I285" s="52" t="str">
        <f aca="false">IFERROR(IF(ISNUMBER(F285),IF(ABS(F285-E285)&lt;=H285,"PASS","FAIL"),"FAIL"),"FAIL")</f>
        <v>PASS</v>
      </c>
    </row>
    <row r="286" customFormat="false" ht="15" hidden="false" customHeight="false" outlineLevel="0" collapsed="false">
      <c r="B286" s="28" t="n">
        <v>277</v>
      </c>
      <c r="C286" s="9" t="s">
        <v>704</v>
      </c>
      <c r="D286" s="9" t="s">
        <v>722</v>
      </c>
      <c r="E286" s="55" t="n">
        <v>37658</v>
      </c>
      <c r="F286" s="43" t="n">
        <f aca="false">Stress_Test!$J$8</f>
        <v>37658.2710986137</v>
      </c>
      <c r="G286" s="44" t="n">
        <f aca="false">IFERROR(IF(ISNUMBER(F286),F286-E286,"n/a"),"n/a")</f>
        <v>0.271098613731738</v>
      </c>
      <c r="H286" s="54" t="n">
        <v>0.500000001</v>
      </c>
      <c r="I286" s="52" t="str">
        <f aca="false">IFERROR(IF(ISNUMBER(F286),IF(ABS(F286-E286)&lt;=H286,"PASS","FAIL"),"FAIL"),"FAIL")</f>
        <v>PASS</v>
      </c>
    </row>
    <row r="287" customFormat="false" ht="15" hidden="false" customHeight="false" outlineLevel="0" collapsed="false">
      <c r="B287" s="28" t="n">
        <v>278</v>
      </c>
      <c r="C287" s="9" t="s">
        <v>704</v>
      </c>
      <c r="D287" s="9" t="s">
        <v>723</v>
      </c>
      <c r="E287" s="10" t="n">
        <v>0.0512</v>
      </c>
      <c r="F287" s="53" t="n">
        <f aca="false">Stress_Test!$D$8</f>
        <v>0.0512360314540408</v>
      </c>
      <c r="G287" s="44" t="n">
        <f aca="false">IFERROR(IF(ISNUMBER(F287),F287-E287,"n/a"),"n/a")</f>
        <v>3.60314540407622E-005</v>
      </c>
      <c r="H287" s="54" t="n">
        <v>5.0001E-005</v>
      </c>
      <c r="I287" s="52" t="str">
        <f aca="false">IFERROR(IF(ISNUMBER(F287),IF(ABS(F287-E287)&lt;=H287,"PASS","FAIL"),"FAIL"),"FAIL")</f>
        <v>PASS</v>
      </c>
    </row>
    <row r="288" customFormat="false" ht="15" hidden="false" customHeight="false" outlineLevel="0" collapsed="false">
      <c r="B288" s="28" t="n">
        <v>279</v>
      </c>
      <c r="C288" s="9" t="s">
        <v>704</v>
      </c>
      <c r="D288" s="9" t="s">
        <v>724</v>
      </c>
      <c r="E288" s="10" t="n">
        <v>-0.0795</v>
      </c>
      <c r="F288" s="53" t="n">
        <f aca="false">Stress_Test!$E$8</f>
        <v>-0.0794582666111473</v>
      </c>
      <c r="G288" s="44" t="n">
        <f aca="false">IFERROR(IF(ISNUMBER(F288),F288-E288,"n/a"),"n/a")</f>
        <v>4.17333888527022E-005</v>
      </c>
      <c r="H288" s="54" t="n">
        <v>5.0001E-005</v>
      </c>
      <c r="I288" s="52" t="str">
        <f aca="false">IFERROR(IF(ISNUMBER(F288),IF(ABS(F288-E288)&lt;=H288,"PASS","FAIL"),"FAIL"),"FAIL")</f>
        <v>PASS</v>
      </c>
    </row>
    <row r="289" customFormat="false" ht="15" hidden="false" customHeight="false" outlineLevel="0" collapsed="false">
      <c r="B289" s="28" t="n">
        <v>280</v>
      </c>
      <c r="C289" s="9" t="s">
        <v>704</v>
      </c>
      <c r="D289" s="9" t="s">
        <v>725</v>
      </c>
      <c r="E289" s="10" t="n">
        <v>0.0368</v>
      </c>
      <c r="F289" s="53" t="n">
        <f aca="false">Stress_Test!$F$8</f>
        <v>0.0367881825294081</v>
      </c>
      <c r="G289" s="44" t="n">
        <f aca="false">IFERROR(IF(ISNUMBER(F289),F289-E289,"n/a"),"n/a")</f>
        <v>-1.18174705919238E-005</v>
      </c>
      <c r="H289" s="54" t="n">
        <v>5.0001E-005</v>
      </c>
      <c r="I289" s="52" t="str">
        <f aca="false">IFERROR(IF(ISNUMBER(F289),IF(ABS(F289-E289)&lt;=H289,"PASS","FAIL"),"FAIL"),"FAIL")</f>
        <v>PASS</v>
      </c>
    </row>
    <row r="290" customFormat="false" ht="15" hidden="false" customHeight="false" outlineLevel="0" collapsed="false">
      <c r="B290" s="28" t="n">
        <v>281</v>
      </c>
      <c r="C290" s="9" t="s">
        <v>704</v>
      </c>
      <c r="D290" s="9" t="s">
        <v>726</v>
      </c>
      <c r="E290" s="10" t="n">
        <v>0.0232</v>
      </c>
      <c r="F290" s="53" t="n">
        <f aca="false">Stress_Test!$G$8</f>
        <v>0.0231823158167146</v>
      </c>
      <c r="G290" s="44" t="n">
        <f aca="false">IFERROR(IF(ISNUMBER(F290),F290-E290,"n/a"),"n/a")</f>
        <v>-1.76841832854047E-005</v>
      </c>
      <c r="H290" s="54" t="n">
        <v>5.0001E-005</v>
      </c>
      <c r="I290" s="52" t="str">
        <f aca="false">IFERROR(IF(ISNUMBER(F290),IF(ABS(F290-E290)&lt;=H290,"PASS","FAIL"),"FAIL"),"FAIL")</f>
        <v>PASS</v>
      </c>
    </row>
    <row r="291" customFormat="false" ht="15" hidden="false" customHeight="false" outlineLevel="0" collapsed="false">
      <c r="B291" s="28" t="n">
        <v>282</v>
      </c>
      <c r="C291" s="9" t="s">
        <v>704</v>
      </c>
      <c r="D291" s="9" t="s">
        <v>727</v>
      </c>
      <c r="E291" s="10" t="n">
        <v>0.0537</v>
      </c>
      <c r="F291" s="53" t="n">
        <f aca="false">Stress_Test!$H$8</f>
        <v>0.0537268981731835</v>
      </c>
      <c r="G291" s="44" t="n">
        <f aca="false">IFERROR(IF(ISNUMBER(F291),F291-E291,"n/a"),"n/a")</f>
        <v>2.68981731835483E-005</v>
      </c>
      <c r="H291" s="54" t="n">
        <v>5.0001E-005</v>
      </c>
      <c r="I291" s="52" t="str">
        <f aca="false">IFERROR(IF(ISNUMBER(F291),IF(ABS(F291-E291)&lt;=H291,"PASS","FAIL"),"FAIL"),"FAIL")</f>
        <v>PASS</v>
      </c>
    </row>
    <row r="292" customFormat="false" ht="15" hidden="false" customHeight="false" outlineLevel="0" collapsed="false">
      <c r="B292" s="28" t="n">
        <v>283</v>
      </c>
      <c r="C292" s="9" t="s">
        <v>704</v>
      </c>
      <c r="D292" s="9" t="s">
        <v>728</v>
      </c>
      <c r="E292" s="10" t="n">
        <v>0.0305</v>
      </c>
      <c r="F292" s="53" t="n">
        <f aca="false">Stress_Test!$I$8</f>
        <v>0.030493538929963</v>
      </c>
      <c r="G292" s="44" t="n">
        <f aca="false">IFERROR(IF(ISNUMBER(F292),F292-E292,"n/a"),"n/a")</f>
        <v>-6.46107003701713E-006</v>
      </c>
      <c r="H292" s="54" t="n">
        <v>5.0001E-005</v>
      </c>
      <c r="I292" s="52" t="str">
        <f aca="false">IFERROR(IF(ISNUMBER(F292),IF(ABS(F292-E292)&lt;=H292,"PASS","FAIL"),"FAIL"),"FAIL")</f>
        <v>PASS</v>
      </c>
    </row>
    <row r="293" customFormat="false" ht="15" hidden="false" customHeight="false" outlineLevel="0" collapsed="false">
      <c r="B293" s="28" t="n">
        <v>284</v>
      </c>
      <c r="C293" s="9" t="s">
        <v>704</v>
      </c>
      <c r="D293" s="9" t="s">
        <v>729</v>
      </c>
      <c r="E293" s="10" t="n">
        <v>0.0441</v>
      </c>
      <c r="F293" s="53" t="n">
        <f aca="false">Stress_Test!$C$9</f>
        <v>0.0441375278445539</v>
      </c>
      <c r="G293" s="44" t="n">
        <f aca="false">IFERROR(IF(ISNUMBER(F293),F293-E293,"n/a"),"n/a")</f>
        <v>3.75278445539362E-005</v>
      </c>
      <c r="H293" s="54" t="n">
        <v>5.0001E-005</v>
      </c>
      <c r="I293" s="52" t="str">
        <f aca="false">IFERROR(IF(ISNUMBER(F293),IF(ABS(F293-E293)&lt;=H293,"PASS","FAIL"),"FAIL"),"FAIL")</f>
        <v>PASS</v>
      </c>
    </row>
    <row r="294" customFormat="false" ht="15" hidden="false" customHeight="false" outlineLevel="0" collapsed="false">
      <c r="B294" s="28" t="n">
        <v>285</v>
      </c>
      <c r="C294" s="9" t="s">
        <v>704</v>
      </c>
      <c r="D294" s="9" t="s">
        <v>730</v>
      </c>
      <c r="E294" s="55" t="n">
        <v>63241</v>
      </c>
      <c r="F294" s="43" t="n">
        <f aca="false">Stress_Test!$J$9</f>
        <v>63240.6190628634</v>
      </c>
      <c r="G294" s="44" t="n">
        <f aca="false">IFERROR(IF(ISNUMBER(F294),F294-E294,"n/a"),"n/a")</f>
        <v>-0.380937136564171</v>
      </c>
      <c r="H294" s="54" t="n">
        <v>0.500000001</v>
      </c>
      <c r="I294" s="52" t="str">
        <f aca="false">IFERROR(IF(ISNUMBER(F294),IF(ABS(F294-E294)&lt;=H294,"PASS","FAIL"),"FAIL"),"FAIL")</f>
        <v>PASS</v>
      </c>
    </row>
    <row r="295" customFormat="false" ht="15" hidden="false" customHeight="false" outlineLevel="0" collapsed="false">
      <c r="B295" s="28" t="n">
        <v>286</v>
      </c>
      <c r="C295" s="9" t="s">
        <v>704</v>
      </c>
      <c r="D295" s="9" t="s">
        <v>731</v>
      </c>
      <c r="E295" s="10" t="n">
        <v>0.0438</v>
      </c>
      <c r="F295" s="53" t="n">
        <f aca="false">Stress_Test!$D$9</f>
        <v>0.0437901512556718</v>
      </c>
      <c r="G295" s="44" t="n">
        <f aca="false">IFERROR(IF(ISNUMBER(F295),F295-E295,"n/a"),"n/a")</f>
        <v>-9.84874432823774E-006</v>
      </c>
      <c r="H295" s="54" t="n">
        <v>5.0001E-005</v>
      </c>
      <c r="I295" s="52" t="str">
        <f aca="false">IFERROR(IF(ISNUMBER(F295),IF(ABS(F295-E295)&lt;=H295,"PASS","FAIL"),"FAIL"),"FAIL")</f>
        <v>PASS</v>
      </c>
    </row>
    <row r="296" customFormat="false" ht="15" hidden="false" customHeight="false" outlineLevel="0" collapsed="false">
      <c r="B296" s="28" t="n">
        <v>287</v>
      </c>
      <c r="C296" s="9" t="s">
        <v>704</v>
      </c>
      <c r="D296" s="9" t="s">
        <v>732</v>
      </c>
      <c r="E296" s="10" t="n">
        <v>-0.0874</v>
      </c>
      <c r="F296" s="53" t="n">
        <f aca="false">Stress_Test!$E$9</f>
        <v>-0.0873772945576871</v>
      </c>
      <c r="G296" s="44" t="n">
        <f aca="false">IFERROR(IF(ISNUMBER(F296),F296-E296,"n/a"),"n/a")</f>
        <v>2.2705442312948E-005</v>
      </c>
      <c r="H296" s="54" t="n">
        <v>5.0001E-005</v>
      </c>
      <c r="I296" s="52" t="str">
        <f aca="false">IFERROR(IF(ISNUMBER(F296),IF(ABS(F296-E296)&lt;=H296,"PASS","FAIL"),"FAIL"),"FAIL")</f>
        <v>PASS</v>
      </c>
    </row>
    <row r="297" customFormat="false" ht="15" hidden="false" customHeight="false" outlineLevel="0" collapsed="false">
      <c r="B297" s="28" t="n">
        <v>288</v>
      </c>
      <c r="C297" s="9" t="s">
        <v>704</v>
      </c>
      <c r="D297" s="9" t="s">
        <v>733</v>
      </c>
      <c r="E297" s="10" t="n">
        <v>0.0652</v>
      </c>
      <c r="F297" s="53" t="n">
        <f aca="false">Stress_Test!$F$9</f>
        <v>0.0652064129926195</v>
      </c>
      <c r="G297" s="44" t="n">
        <f aca="false">IFERROR(IF(ISNUMBER(F297),F297-E297,"n/a"),"n/a")</f>
        <v>6.41299261953943E-006</v>
      </c>
      <c r="H297" s="54" t="n">
        <v>5.0001E-005</v>
      </c>
      <c r="I297" s="52" t="str">
        <f aca="false">IFERROR(IF(ISNUMBER(F297),IF(ABS(F297-E297)&lt;=H297,"PASS","FAIL"),"FAIL"),"FAIL")</f>
        <v>PASS</v>
      </c>
    </row>
    <row r="298" customFormat="false" ht="15" hidden="false" customHeight="false" outlineLevel="0" collapsed="false">
      <c r="B298" s="28" t="n">
        <v>289</v>
      </c>
      <c r="C298" s="9" t="s">
        <v>704</v>
      </c>
      <c r="D298" s="9" t="s">
        <v>734</v>
      </c>
      <c r="E298" s="10" t="n">
        <v>0.0755</v>
      </c>
      <c r="F298" s="53" t="n">
        <f aca="false">Stress_Test!$G$9</f>
        <v>0.0755164277519109</v>
      </c>
      <c r="G298" s="44" t="n">
        <f aca="false">IFERROR(IF(ISNUMBER(F298),F298-E298,"n/a"),"n/a")</f>
        <v>1.64277519109218E-005</v>
      </c>
      <c r="H298" s="54" t="n">
        <v>5.0001E-005</v>
      </c>
      <c r="I298" s="52" t="str">
        <f aca="false">IFERROR(IF(ISNUMBER(F298),IF(ABS(F298-E298)&lt;=H298,"PASS","FAIL"),"FAIL"),"FAIL")</f>
        <v>PASS</v>
      </c>
    </row>
    <row r="299" customFormat="false" ht="15" hidden="false" customHeight="false" outlineLevel="0" collapsed="false">
      <c r="B299" s="28" t="n">
        <v>290</v>
      </c>
      <c r="C299" s="9" t="s">
        <v>704</v>
      </c>
      <c r="D299" s="9" t="s">
        <v>735</v>
      </c>
      <c r="E299" s="10" t="n">
        <v>0.0756</v>
      </c>
      <c r="F299" s="53" t="n">
        <f aca="false">Stress_Test!$H$9</f>
        <v>0.0756450848325732</v>
      </c>
      <c r="G299" s="44" t="n">
        <f aca="false">IFERROR(IF(ISNUMBER(F299),F299-E299,"n/a"),"n/a")</f>
        <v>4.50848325731501E-005</v>
      </c>
      <c r="H299" s="54" t="n">
        <v>5.0001E-005</v>
      </c>
      <c r="I299" s="52" t="str">
        <f aca="false">IFERROR(IF(ISNUMBER(F299),IF(ABS(F299-E299)&lt;=H299,"PASS","FAIL"),"FAIL"),"FAIL")</f>
        <v>PASS</v>
      </c>
    </row>
    <row r="300" customFormat="false" ht="15" hidden="false" customHeight="false" outlineLevel="0" collapsed="false">
      <c r="B300" s="28" t="n">
        <v>291</v>
      </c>
      <c r="C300" s="9" t="s">
        <v>704</v>
      </c>
      <c r="D300" s="9" t="s">
        <v>736</v>
      </c>
      <c r="E300" s="10" t="n">
        <v>0.0614</v>
      </c>
      <c r="F300" s="53" t="n">
        <f aca="false">Stress_Test!$I$9</f>
        <v>0.0613635506249997</v>
      </c>
      <c r="G300" s="44" t="n">
        <f aca="false">IFERROR(IF(ISNUMBER(F300),F300-E300,"n/a"),"n/a")</f>
        <v>-3.64493750003511E-005</v>
      </c>
      <c r="H300" s="54" t="n">
        <v>5.0001E-005</v>
      </c>
      <c r="I300" s="52" t="str">
        <f aca="false">IFERROR(IF(ISNUMBER(F300),IF(ABS(F300-E300)&lt;=H300,"PASS","FAIL"),"FAIL"),"FAIL")</f>
        <v>PASS</v>
      </c>
    </row>
    <row r="301" customFormat="false" ht="15" hidden="false" customHeight="false" outlineLevel="0" collapsed="false">
      <c r="B301" s="28" t="n">
        <v>292</v>
      </c>
      <c r="C301" s="9" t="s">
        <v>704</v>
      </c>
      <c r="D301" s="9" t="s">
        <v>737</v>
      </c>
      <c r="E301" s="10" t="n">
        <v>0.0606</v>
      </c>
      <c r="F301" s="53" t="n">
        <f aca="false">Stress_Test!$C$10</f>
        <v>0.0606008106787763</v>
      </c>
      <c r="G301" s="44" t="n">
        <f aca="false">IFERROR(IF(ISNUMBER(F301),F301-E301,"n/a"),"n/a")</f>
        <v>8.10678776330676E-007</v>
      </c>
      <c r="H301" s="54" t="n">
        <v>5.0001E-005</v>
      </c>
      <c r="I301" s="52" t="str">
        <f aca="false">IFERROR(IF(ISNUMBER(F301),IF(ABS(F301-E301)&lt;=H301,"PASS","FAIL"),"FAIL"),"FAIL")</f>
        <v>PASS</v>
      </c>
    </row>
    <row r="302" customFormat="false" ht="15" hidden="false" customHeight="false" outlineLevel="0" collapsed="false">
      <c r="B302" s="28" t="n">
        <v>293</v>
      </c>
      <c r="C302" s="9" t="s">
        <v>704</v>
      </c>
      <c r="D302" s="9" t="s">
        <v>738</v>
      </c>
      <c r="E302" s="55" t="n">
        <v>88698</v>
      </c>
      <c r="F302" s="43" t="n">
        <f aca="false">Stress_Test!$J$10</f>
        <v>88697.763949085</v>
      </c>
      <c r="G302" s="44" t="n">
        <f aca="false">IFERROR(IF(ISNUMBER(F302),F302-E302,"n/a"),"n/a")</f>
        <v>-0.236050915002124</v>
      </c>
      <c r="H302" s="54" t="n">
        <v>0.500000001</v>
      </c>
      <c r="I302" s="52" t="str">
        <f aca="false">IFERROR(IF(ISNUMBER(F302),IF(ABS(F302-E302)&lt;=H302,"PASS","FAIL"),"FAIL"),"FAIL")</f>
        <v>PASS</v>
      </c>
    </row>
    <row r="303" customFormat="false" ht="15" hidden="false" customHeight="false" outlineLevel="0" collapsed="false">
      <c r="B303" s="28" t="n">
        <v>294</v>
      </c>
      <c r="C303" s="9" t="s">
        <v>704</v>
      </c>
      <c r="D303" s="9" t="s">
        <v>739</v>
      </c>
      <c r="E303" s="10" t="n">
        <v>0.0522</v>
      </c>
      <c r="F303" s="53" t="n">
        <f aca="false">Stress_Test!$D$10</f>
        <v>0.0521866825360082</v>
      </c>
      <c r="G303" s="44" t="n">
        <f aca="false">IFERROR(IF(ISNUMBER(F303),F303-E303,"n/a"),"n/a")</f>
        <v>-1.33174639917813E-005</v>
      </c>
      <c r="H303" s="54" t="n">
        <v>5.0001E-005</v>
      </c>
      <c r="I303" s="52" t="str">
        <f aca="false">IFERROR(IF(ISNUMBER(F303),IF(ABS(F303-E303)&lt;=H303,"PASS","FAIL"),"FAIL"),"FAIL")</f>
        <v>PASS</v>
      </c>
    </row>
    <row r="304" customFormat="false" ht="15" hidden="false" customHeight="false" outlineLevel="0" collapsed="false">
      <c r="B304" s="28" t="n">
        <v>295</v>
      </c>
      <c r="C304" s="9" t="s">
        <v>704</v>
      </c>
      <c r="D304" s="9" t="s">
        <v>740</v>
      </c>
      <c r="E304" s="10" t="n">
        <v>0.0422</v>
      </c>
      <c r="F304" s="53" t="n">
        <f aca="false">Stress_Test!$E$10</f>
        <v>0.0421815773308225</v>
      </c>
      <c r="G304" s="44" t="n">
        <f aca="false">IFERROR(IF(ISNUMBER(F304),F304-E304,"n/a"),"n/a")</f>
        <v>-1.84226691774814E-005</v>
      </c>
      <c r="H304" s="54" t="n">
        <v>5.0001E-005</v>
      </c>
      <c r="I304" s="52" t="str">
        <f aca="false">IFERROR(IF(ISNUMBER(F304),IF(ABS(F304-E304)&lt;=H304,"PASS","FAIL"),"FAIL"),"FAIL")</f>
        <v>PASS</v>
      </c>
    </row>
    <row r="305" customFormat="false" ht="15" hidden="false" customHeight="false" outlineLevel="0" collapsed="false">
      <c r="B305" s="28" t="n">
        <v>296</v>
      </c>
      <c r="C305" s="9" t="s">
        <v>704</v>
      </c>
      <c r="D305" s="9" t="s">
        <v>741</v>
      </c>
      <c r="E305" s="10" t="n">
        <v>0.0572</v>
      </c>
      <c r="F305" s="53" t="n">
        <f aca="false">Stress_Test!$F$10</f>
        <v>0.0571870144159075</v>
      </c>
      <c r="G305" s="44" t="n">
        <f aca="false">IFERROR(IF(ISNUMBER(F305),F305-E305,"n/a"),"n/a")</f>
        <v>-1.29855840925452E-005</v>
      </c>
      <c r="H305" s="54" t="n">
        <v>5.0001E-005</v>
      </c>
      <c r="I305" s="52" t="str">
        <f aca="false">IFERROR(IF(ISNUMBER(F305),IF(ABS(F305-E305)&lt;=H305,"PASS","FAIL"),"FAIL"),"FAIL")</f>
        <v>PASS</v>
      </c>
    </row>
    <row r="306" customFormat="false" ht="15" hidden="false" customHeight="false" outlineLevel="0" collapsed="false">
      <c r="B306" s="28" t="n">
        <v>297</v>
      </c>
      <c r="C306" s="9" t="s">
        <v>704</v>
      </c>
      <c r="D306" s="9" t="s">
        <v>742</v>
      </c>
      <c r="E306" s="10" t="n">
        <v>0.0903</v>
      </c>
      <c r="F306" s="53" t="n">
        <f aca="false">Stress_Test!$G$10</f>
        <v>0.0903440091851642</v>
      </c>
      <c r="G306" s="44" t="n">
        <f aca="false">IFERROR(IF(ISNUMBER(F306),F306-E306,"n/a"),"n/a")</f>
        <v>4.40091851641733E-005</v>
      </c>
      <c r="H306" s="54" t="n">
        <v>5.0001E-005</v>
      </c>
      <c r="I306" s="52" t="str">
        <f aca="false">IFERROR(IF(ISNUMBER(F306),IF(ABS(F306-E306)&lt;=H306,"PASS","FAIL"),"FAIL"),"FAIL")</f>
        <v>PASS</v>
      </c>
    </row>
    <row r="307" customFormat="false" ht="15" hidden="false" customHeight="false" outlineLevel="0" collapsed="false">
      <c r="B307" s="28" t="n">
        <v>298</v>
      </c>
      <c r="C307" s="9" t="s">
        <v>704</v>
      </c>
      <c r="D307" s="9" t="s">
        <v>743</v>
      </c>
      <c r="E307" s="10" t="n">
        <v>0.0738</v>
      </c>
      <c r="F307" s="53" t="n">
        <f aca="false">Stress_Test!$H$10</f>
        <v>0.07381908440334</v>
      </c>
      <c r="G307" s="44" t="n">
        <f aca="false">IFERROR(IF(ISNUMBER(F307),F307-E307,"n/a"),"n/a")</f>
        <v>1.90844033399473E-005</v>
      </c>
      <c r="H307" s="54" t="n">
        <v>5.0001E-005</v>
      </c>
      <c r="I307" s="52" t="str">
        <f aca="false">IFERROR(IF(ISNUMBER(F307),IF(ABS(F307-E307)&lt;=H307,"PASS","FAIL"),"FAIL"),"FAIL")</f>
        <v>PASS</v>
      </c>
    </row>
    <row r="308" customFormat="false" ht="15" hidden="false" customHeight="false" outlineLevel="0" collapsed="false">
      <c r="B308" s="28" t="n">
        <v>299</v>
      </c>
      <c r="C308" s="9" t="s">
        <v>704</v>
      </c>
      <c r="D308" s="9" t="s">
        <v>744</v>
      </c>
      <c r="E308" s="10" t="n">
        <v>0.0406</v>
      </c>
      <c r="F308" s="53" t="n">
        <f aca="false">Stress_Test!$I$10</f>
        <v>0.04060401</v>
      </c>
      <c r="G308" s="44" t="n">
        <f aca="false">IFERROR(IF(ISNUMBER(F308),F308-E308,"n/a"),"n/a")</f>
        <v>4.01000000002649E-006</v>
      </c>
      <c r="H308" s="54" t="n">
        <v>5.0001E-005</v>
      </c>
      <c r="I308" s="52" t="str">
        <f aca="false">IFERROR(IF(ISNUMBER(F308),IF(ABS(F308-E308)&lt;=H308,"PASS","FAIL"),"FAIL"),"FAIL")</f>
        <v>PASS</v>
      </c>
    </row>
    <row r="309" customFormat="false" ht="15" hidden="false" customHeight="false" outlineLevel="0" collapsed="false">
      <c r="B309" s="28" t="n">
        <v>300</v>
      </c>
      <c r="C309" s="9" t="s">
        <v>704</v>
      </c>
      <c r="D309" s="9" t="s">
        <v>745</v>
      </c>
      <c r="E309" s="10" t="n">
        <v>0.0584</v>
      </c>
      <c r="F309" s="53" t="n">
        <f aca="false">Stress_Test!$C$12</f>
        <v>0.0583757695950966</v>
      </c>
      <c r="G309" s="44" t="n">
        <f aca="false">IFERROR(IF(ISNUMBER(F309),F309-E309,"n/a"),"n/a")</f>
        <v>-2.42304049033956E-005</v>
      </c>
      <c r="H309" s="54" t="n">
        <v>5.0001E-005</v>
      </c>
      <c r="I309" s="52" t="str">
        <f aca="false">IFERROR(IF(ISNUMBER(F309),IF(ABS(F309-E309)&lt;=H309,"PASS","FAIL"),"FAIL"),"FAIL")</f>
        <v>PASS</v>
      </c>
    </row>
    <row r="310" customFormat="false" ht="15" hidden="false" customHeight="false" outlineLevel="0" collapsed="false">
      <c r="B310" s="28" t="n">
        <v>301</v>
      </c>
      <c r="C310" s="9" t="s">
        <v>704</v>
      </c>
      <c r="D310" s="9" t="s">
        <v>746</v>
      </c>
      <c r="E310" s="10" t="n">
        <v>0.0606</v>
      </c>
      <c r="F310" s="53" t="n">
        <f aca="false">Stress_Test!$C$10</f>
        <v>0.0606008106787763</v>
      </c>
      <c r="G310" s="44" t="n">
        <f aca="false">IFERROR(IF(ISNUMBER(F310),F310-E310,"n/a"),"n/a")</f>
        <v>8.10678776330676E-007</v>
      </c>
      <c r="H310" s="54" t="n">
        <v>5.0001E-005</v>
      </c>
      <c r="I310" s="52" t="str">
        <f aca="false">IFERROR(IF(ISNUMBER(F310),IF(ABS(F310-E310)&lt;=H310,"PASS","FAIL"),"FAIL"),"FAIL")</f>
        <v>PASS</v>
      </c>
    </row>
    <row r="311" customFormat="false" ht="15" hidden="false" customHeight="false" outlineLevel="0" collapsed="false">
      <c r="B311" s="28" t="n">
        <v>302</v>
      </c>
      <c r="C311" s="9" t="s">
        <v>704</v>
      </c>
      <c r="D311" s="9" t="s">
        <v>747</v>
      </c>
      <c r="E311" s="10" t="n">
        <v>0.0602</v>
      </c>
      <c r="F311" s="53" t="n">
        <f aca="false">Stress_Test!$C$6</f>
        <v>0.0602132863026841</v>
      </c>
      <c r="G311" s="44" t="n">
        <f aca="false">IFERROR(IF(ISNUMBER(F311),F311-E311,"n/a"),"n/a")</f>
        <v>1.32863026840804E-005</v>
      </c>
      <c r="H311" s="54" t="n">
        <v>5.0001E-005</v>
      </c>
      <c r="I311" s="52" t="str">
        <f aca="false">IFERROR(IF(ISNUMBER(F311),IF(ABS(F311-E311)&lt;=H311,"PASS","FAIL"),"FAIL"),"FAIL")</f>
        <v>PASS</v>
      </c>
    </row>
    <row r="312" customFormat="false" ht="15" hidden="false" customHeight="true" outlineLevel="0" collapsed="false">
      <c r="B312" s="28" t="n">
        <v>303</v>
      </c>
      <c r="C312" s="9" t="s">
        <v>704</v>
      </c>
      <c r="D312" s="58" t="s">
        <v>748</v>
      </c>
      <c r="E312" s="47" t="s">
        <v>531</v>
      </c>
      <c r="F312" s="59" t="str">
        <f aca="false">IFERROR(IF(Stress_Test!$C$8&lt;MIN(Stress_Test!$C$7,Stress_Test!$C$9,Stress_Test!$C$10,Stress_Test!$C$6),"holds","does not hold"),"error")</f>
        <v>holds</v>
      </c>
      <c r="G312" s="9"/>
      <c r="H312" s="9"/>
      <c r="I312" s="52" t="str">
        <f aca="false">IFERROR(IF(Stress_Test!$C$8&lt;MIN(Stress_Test!$C$7,Stress_Test!$C$9,Stress_Test!$C$10,Stress_Test!$C$6),"PASS","FAIL"),"FAIL")</f>
        <v>PASS</v>
      </c>
    </row>
    <row r="313" customFormat="false" ht="15" hidden="false" customHeight="true" outlineLevel="0" collapsed="false">
      <c r="B313" s="28" t="n">
        <v>304</v>
      </c>
      <c r="C313" s="9" t="s">
        <v>704</v>
      </c>
      <c r="D313" s="58" t="s">
        <v>749</v>
      </c>
      <c r="E313" s="47" t="s">
        <v>531</v>
      </c>
      <c r="F313" s="59" t="str">
        <f aca="false">IFERROR(IF(ABS(Stress_Test!$C$10-Stress_Test!$C$6)&lt;0.005,"holds","does not hold"),"error")</f>
        <v>holds</v>
      </c>
      <c r="G313" s="9"/>
      <c r="H313" s="9"/>
      <c r="I313" s="52" t="str">
        <f aca="false">IFERROR(IF(ABS(Stress_Test!$C$10-Stress_Test!$C$6)&lt;0.005,"PASS","FAIL"),"FAIL")</f>
        <v>PASS</v>
      </c>
    </row>
    <row r="314" customFormat="false" ht="15" hidden="false" customHeight="false" outlineLevel="0" collapsed="false">
      <c r="B314" s="28" t="n">
        <v>305</v>
      </c>
      <c r="C314" s="9" t="s">
        <v>704</v>
      </c>
      <c r="D314" s="9" t="s">
        <v>750</v>
      </c>
      <c r="E314" s="10" t="n">
        <v>0.0745</v>
      </c>
      <c r="F314" s="53" t="n">
        <f aca="false">Stress_Test!$F$7</f>
        <v>0.0744950190553291</v>
      </c>
      <c r="G314" s="44" t="n">
        <f aca="false">IFERROR(IF(ISNUMBER(F314),F314-E314,"n/a"),"n/a")</f>
        <v>-4.98094467092647E-006</v>
      </c>
      <c r="H314" s="54" t="n">
        <v>5.0001E-005</v>
      </c>
      <c r="I314" s="52" t="str">
        <f aca="false">IFERROR(IF(ISNUMBER(F314),IF(ABS(F314-E314)&lt;=H314,"PASS","FAIL"),"FAIL"),"FAIL")</f>
        <v>PASS</v>
      </c>
    </row>
    <row r="315" customFormat="false" ht="15" hidden="false" customHeight="false" outlineLevel="0" collapsed="false">
      <c r="B315" s="28" t="n">
        <v>306</v>
      </c>
      <c r="C315" s="9" t="s">
        <v>704</v>
      </c>
      <c r="D315" s="9" t="s">
        <v>751</v>
      </c>
      <c r="E315" s="10" t="n">
        <v>0.0368</v>
      </c>
      <c r="F315" s="53" t="n">
        <f aca="false">Stress_Test!$F$8</f>
        <v>0.0367881825294081</v>
      </c>
      <c r="G315" s="44" t="n">
        <f aca="false">IFERROR(IF(ISNUMBER(F315),F315-E315,"n/a"),"n/a")</f>
        <v>-1.18174705919238E-005</v>
      </c>
      <c r="H315" s="54" t="n">
        <v>5.0001E-005</v>
      </c>
      <c r="I315" s="52" t="str">
        <f aca="false">IFERROR(IF(ISNUMBER(F315),IF(ABS(F315-E315)&lt;=H315,"PASS","FAIL"),"FAIL"),"FAIL")</f>
        <v>PASS</v>
      </c>
    </row>
    <row r="316" customFormat="false" ht="15" hidden="false" customHeight="false" outlineLevel="0" collapsed="false">
      <c r="B316" s="28" t="n">
        <v>307</v>
      </c>
      <c r="C316" s="9" t="s">
        <v>704</v>
      </c>
      <c r="D316" s="9" t="s">
        <v>752</v>
      </c>
      <c r="E316" s="10" t="n">
        <v>0.0887</v>
      </c>
      <c r="F316" s="53" t="n">
        <f aca="false">Stress_Test!$H$7</f>
        <v>0.08866358319116</v>
      </c>
      <c r="G316" s="44" t="n">
        <f aca="false">IFERROR(IF(ISNUMBER(F316),F316-E316,"n/a"),"n/a")</f>
        <v>-3.64168088400202E-005</v>
      </c>
      <c r="H316" s="54" t="n">
        <v>5.0001E-005</v>
      </c>
      <c r="I316" s="52" t="str">
        <f aca="false">IFERROR(IF(ISNUMBER(F316),IF(ABS(F316-E316)&lt;=H316,"PASS","FAIL"),"FAIL"),"FAIL")</f>
        <v>PASS</v>
      </c>
    </row>
    <row r="317" customFormat="false" ht="15" hidden="false" customHeight="false" outlineLevel="0" collapsed="false">
      <c r="B317" s="28" t="n">
        <v>308</v>
      </c>
      <c r="C317" s="9" t="s">
        <v>704</v>
      </c>
      <c r="D317" s="9" t="s">
        <v>753</v>
      </c>
      <c r="E317" s="10" t="n">
        <v>0.0537</v>
      </c>
      <c r="F317" s="53" t="n">
        <f aca="false">Stress_Test!$H$8</f>
        <v>0.0537268981731835</v>
      </c>
      <c r="G317" s="44" t="n">
        <f aca="false">IFERROR(IF(ISNUMBER(F317),F317-E317,"n/a"),"n/a")</f>
        <v>2.68981731835483E-005</v>
      </c>
      <c r="H317" s="54" t="n">
        <v>5.0001E-005</v>
      </c>
      <c r="I317" s="52" t="str">
        <f aca="false">IFERROR(IF(ISNUMBER(F317),IF(ABS(F317-E317)&lt;=H317,"PASS","FAIL"),"FAIL"),"FAIL")</f>
        <v>PASS</v>
      </c>
    </row>
    <row r="318" customFormat="false" ht="15" hidden="false" customHeight="false" outlineLevel="0" collapsed="false">
      <c r="B318" s="28" t="n">
        <v>309</v>
      </c>
      <c r="C318" s="9" t="s">
        <v>704</v>
      </c>
      <c r="D318" s="9" t="s">
        <v>754</v>
      </c>
      <c r="E318" s="10" t="n">
        <v>0.0447</v>
      </c>
      <c r="F318" s="53" t="n">
        <f aca="false">Stress_Test!$D$7</f>
        <v>0.0447056272742963</v>
      </c>
      <c r="G318" s="44" t="n">
        <f aca="false">IFERROR(IF(ISNUMBER(F318),F318-E318,"n/a"),"n/a")</f>
        <v>5.62727429628124E-006</v>
      </c>
      <c r="H318" s="54" t="n">
        <v>5.0001E-005</v>
      </c>
      <c r="I318" s="52" t="str">
        <f aca="false">IFERROR(IF(ISNUMBER(F318),IF(ABS(F318-E318)&lt;=H318,"PASS","FAIL"),"FAIL"),"FAIL")</f>
        <v>PASS</v>
      </c>
    </row>
    <row r="319" customFormat="false" ht="15" hidden="false" customHeight="false" outlineLevel="0" collapsed="false">
      <c r="B319" s="28" t="n">
        <v>310</v>
      </c>
      <c r="C319" s="9" t="s">
        <v>755</v>
      </c>
      <c r="D319" s="9" t="s">
        <v>756</v>
      </c>
      <c r="E319" s="12" t="n">
        <v>0.88</v>
      </c>
      <c r="F319" s="17" t="n">
        <f aca="false">Dashboard!$C$6</f>
        <v>0.879030970306436</v>
      </c>
      <c r="G319" s="44" t="n">
        <f aca="false">IFERROR(IF(ISNUMBER(F319),F319-E319,"n/a"),"n/a")</f>
        <v>-0.000969029693564383</v>
      </c>
      <c r="H319" s="54" t="n">
        <v>0.005000001</v>
      </c>
      <c r="I319" s="52" t="str">
        <f aca="false">IFERROR(IF(ISNUMBER(F319),IF(ABS(F319-E319)&lt;=H319,"PASS","FAIL"),"FAIL"),"FAIL")</f>
        <v>PASS</v>
      </c>
    </row>
    <row r="320" customFormat="false" ht="15" hidden="false" customHeight="false" outlineLevel="0" collapsed="false">
      <c r="B320" s="28" t="n">
        <v>311</v>
      </c>
      <c r="C320" s="9" t="s">
        <v>755</v>
      </c>
      <c r="D320" s="9" t="s">
        <v>757</v>
      </c>
      <c r="E320" s="12" t="n">
        <v>1.04</v>
      </c>
      <c r="F320" s="17" t="n">
        <f aca="false">Dashboard!$D$6</f>
        <v>1.04011072370289</v>
      </c>
      <c r="G320" s="44" t="n">
        <f aca="false">IFERROR(IF(ISNUMBER(F320),F320-E320,"n/a"),"n/a")</f>
        <v>0.000110723702887006</v>
      </c>
      <c r="H320" s="54" t="n">
        <v>0.005000001</v>
      </c>
      <c r="I320" s="52" t="str">
        <f aca="false">IFERROR(IF(ISNUMBER(F320),IF(ABS(F320-E320)&lt;=H320,"PASS","FAIL"),"FAIL"),"FAIL")</f>
        <v>PASS</v>
      </c>
    </row>
    <row r="321" customFormat="false" ht="15" hidden="false" customHeight="false" outlineLevel="0" collapsed="false">
      <c r="B321" s="28" t="n">
        <v>312</v>
      </c>
      <c r="C321" s="9" t="s">
        <v>755</v>
      </c>
      <c r="D321" s="9" t="s">
        <v>758</v>
      </c>
      <c r="E321" s="60" t="n">
        <v>10.724</v>
      </c>
      <c r="F321" s="48" t="n">
        <f aca="false">Dashboard!$C$7</f>
        <v>10.7243644259454</v>
      </c>
      <c r="G321" s="44" t="n">
        <f aca="false">IFERROR(IF(ISNUMBER(F321),F321-E321,"n/a"),"n/a")</f>
        <v>0.000364425945377889</v>
      </c>
      <c r="H321" s="54" t="n">
        <v>0.000500001</v>
      </c>
      <c r="I321" s="52" t="str">
        <f aca="false">IFERROR(IF(ISNUMBER(F321),IF(ABS(F321-E321)&lt;=H321,"PASS","FAIL"),"FAIL"),"FAIL")</f>
        <v>PASS</v>
      </c>
    </row>
    <row r="322" customFormat="false" ht="15" hidden="false" customHeight="false" outlineLevel="0" collapsed="false">
      <c r="B322" s="28" t="n">
        <v>313</v>
      </c>
      <c r="C322" s="9" t="s">
        <v>755</v>
      </c>
      <c r="D322" s="9" t="s">
        <v>759</v>
      </c>
      <c r="E322" s="60" t="n">
        <v>10.329</v>
      </c>
      <c r="F322" s="48" t="n">
        <f aca="false">Dashboard!$D$7</f>
        <v>10.3290821689262</v>
      </c>
      <c r="G322" s="44" t="n">
        <f aca="false">IFERROR(IF(ISNUMBER(F322),F322-E322,"n/a"),"n/a")</f>
        <v>8.2168926171633E-005</v>
      </c>
      <c r="H322" s="54" t="n">
        <v>0.000500001</v>
      </c>
      <c r="I322" s="52" t="str">
        <f aca="false">IFERROR(IF(ISNUMBER(F322),IF(ABS(F322-E322)&lt;=H322,"PASS","FAIL"),"FAIL"),"FAIL")</f>
        <v>PASS</v>
      </c>
    </row>
    <row r="323" customFormat="false" ht="15" hidden="false" customHeight="false" outlineLevel="0" collapsed="false">
      <c r="B323" s="28" t="n">
        <v>314</v>
      </c>
      <c r="C323" s="9" t="s">
        <v>755</v>
      </c>
      <c r="D323" s="9" t="s">
        <v>760</v>
      </c>
      <c r="E323" s="12" t="n">
        <v>1.03</v>
      </c>
      <c r="F323" s="17" t="n">
        <f aca="false">Dashboard!$C$8</f>
        <v>1.02989953356199</v>
      </c>
      <c r="G323" s="44" t="n">
        <f aca="false">IFERROR(IF(ISNUMBER(F323),F323-E323,"n/a"),"n/a")</f>
        <v>-0.000100466438006208</v>
      </c>
      <c r="H323" s="54" t="n">
        <v>0.005000001</v>
      </c>
      <c r="I323" s="52" t="str">
        <f aca="false">IFERROR(IF(ISNUMBER(F323),IF(ABS(F323-E323)&lt;=H323,"PASS","FAIL"),"FAIL"),"FAIL")</f>
        <v>PASS</v>
      </c>
    </row>
    <row r="324" customFormat="false" ht="15" hidden="false" customHeight="false" outlineLevel="0" collapsed="false">
      <c r="B324" s="28" t="n">
        <v>315</v>
      </c>
      <c r="C324" s="9" t="s">
        <v>755</v>
      </c>
      <c r="D324" s="9" t="s">
        <v>761</v>
      </c>
      <c r="E324" s="12" t="n">
        <v>1.02</v>
      </c>
      <c r="F324" s="17" t="n">
        <f aca="false">Dashboard!$D$8</f>
        <v>1.02235920384937</v>
      </c>
      <c r="G324" s="44" t="n">
        <f aca="false">IFERROR(IF(ISNUMBER(F324),F324-E324,"n/a"),"n/a")</f>
        <v>0.00235920384937383</v>
      </c>
      <c r="H324" s="54" t="n">
        <v>0.005000001</v>
      </c>
      <c r="I324" s="52" t="str">
        <f aca="false">IFERROR(IF(ISNUMBER(F324),IF(ABS(F324-E324)&lt;=H324,"PASS","FAIL"),"FAIL"),"FAIL")</f>
        <v>PASS</v>
      </c>
    </row>
    <row r="325" customFormat="false" ht="15" hidden="false" customHeight="false" outlineLevel="0" collapsed="false">
      <c r="B325" s="28" t="n">
        <v>316</v>
      </c>
      <c r="C325" s="9" t="s">
        <v>755</v>
      </c>
      <c r="D325" s="9" t="s">
        <v>762</v>
      </c>
      <c r="E325" s="12" t="n">
        <v>1.05</v>
      </c>
      <c r="F325" s="17" t="n">
        <f aca="false">Dashboard!$C$9</f>
        <v>1.0544060695271</v>
      </c>
      <c r="G325" s="44" t="n">
        <f aca="false">IFERROR(IF(ISNUMBER(F325),F325-E325,"n/a"),"n/a")</f>
        <v>0.00440606952709577</v>
      </c>
      <c r="H325" s="54" t="n">
        <v>0.005000001</v>
      </c>
      <c r="I325" s="52" t="str">
        <f aca="false">IFERROR(IF(ISNUMBER(F325),IF(ABS(F325-E325)&lt;=H325,"PASS","FAIL"),"FAIL"),"FAIL")</f>
        <v>PASS</v>
      </c>
    </row>
    <row r="326" customFormat="false" ht="15" hidden="false" customHeight="false" outlineLevel="0" collapsed="false">
      <c r="B326" s="28" t="n">
        <v>317</v>
      </c>
      <c r="C326" s="9" t="s">
        <v>755</v>
      </c>
      <c r="D326" s="9" t="s">
        <v>763</v>
      </c>
      <c r="E326" s="12" t="n">
        <v>1.06</v>
      </c>
      <c r="F326" s="17" t="n">
        <f aca="false">Dashboard!$D$9</f>
        <v>1.05574092709148</v>
      </c>
      <c r="G326" s="44" t="n">
        <f aca="false">IFERROR(IF(ISNUMBER(F326),F326-E326,"n/a"),"n/a")</f>
        <v>-0.00425907290851879</v>
      </c>
      <c r="H326" s="54" t="n">
        <v>0.005000001</v>
      </c>
      <c r="I326" s="52" t="str">
        <f aca="false">IFERROR(IF(ISNUMBER(F326),IF(ABS(F326-E326)&lt;=H326,"PASS","FAIL"),"FAIL"),"FAIL")</f>
        <v>PASS</v>
      </c>
    </row>
    <row r="327" customFormat="false" ht="15" hidden="false" customHeight="false" outlineLevel="0" collapsed="false">
      <c r="B327" s="28" t="n">
        <v>318</v>
      </c>
      <c r="C327" s="9" t="s">
        <v>755</v>
      </c>
      <c r="D327" s="9" t="s">
        <v>764</v>
      </c>
      <c r="E327" s="60" t="n">
        <v>24.534</v>
      </c>
      <c r="F327" s="48" t="n">
        <f aca="false">Dashboard!$C$10</f>
        <v>24.5341163459868</v>
      </c>
      <c r="G327" s="44" t="n">
        <f aca="false">IFERROR(IF(ISNUMBER(F327),F327-E327,"n/a"),"n/a")</f>
        <v>0.000116345986754141</v>
      </c>
      <c r="H327" s="54" t="n">
        <v>0.000500001</v>
      </c>
      <c r="I327" s="52" t="str">
        <f aca="false">IFERROR(IF(ISNUMBER(F327),IF(ABS(F327-E327)&lt;=H327,"PASS","FAIL"),"FAIL"),"FAIL")</f>
        <v>PASS</v>
      </c>
    </row>
    <row r="328" customFormat="false" ht="15" hidden="false" customHeight="false" outlineLevel="0" collapsed="false">
      <c r="B328" s="28" t="n">
        <v>319</v>
      </c>
      <c r="C328" s="9" t="s">
        <v>755</v>
      </c>
      <c r="D328" s="9" t="s">
        <v>765</v>
      </c>
      <c r="E328" s="60" t="n">
        <v>24.034</v>
      </c>
      <c r="F328" s="48" t="n">
        <f aca="false">Dashboard!$D$10</f>
        <v>24.0338415871958</v>
      </c>
      <c r="G328" s="44" t="n">
        <f aca="false">IFERROR(IF(ISNUMBER(F328),F328-E328,"n/a"),"n/a")</f>
        <v>-0.000158412804232455</v>
      </c>
      <c r="H328" s="54" t="n">
        <v>0.000500001</v>
      </c>
      <c r="I328" s="52" t="str">
        <f aca="false">IFERROR(IF(ISNUMBER(F328),IF(ABS(F328-E328)&lt;=H328,"PASS","FAIL"),"FAIL"),"FAIL")</f>
        <v>PASS</v>
      </c>
    </row>
    <row r="329" customFormat="false" ht="15" hidden="false" customHeight="false" outlineLevel="0" collapsed="false">
      <c r="B329" s="28" t="n">
        <v>320</v>
      </c>
      <c r="C329" s="9" t="s">
        <v>755</v>
      </c>
      <c r="D329" s="9" t="s">
        <v>766</v>
      </c>
      <c r="E329" s="21" t="n">
        <v>0.979</v>
      </c>
      <c r="F329" s="57" t="n">
        <f aca="false">Dashboard!$C$11</f>
        <v>0.979129186614587</v>
      </c>
      <c r="G329" s="44" t="n">
        <f aca="false">IFERROR(IF(ISNUMBER(F329),F329-E329,"n/a"),"n/a")</f>
        <v>0.000129186614586385</v>
      </c>
      <c r="H329" s="54" t="n">
        <v>0.000500001</v>
      </c>
      <c r="I329" s="52" t="str">
        <f aca="false">IFERROR(IF(ISNUMBER(F329),IF(ABS(F329-E329)&lt;=H329,"PASS","FAIL"),"FAIL"),"FAIL")</f>
        <v>PASS</v>
      </c>
    </row>
    <row r="330" customFormat="false" ht="15" hidden="false" customHeight="false" outlineLevel="0" collapsed="false">
      <c r="B330" s="28" t="n">
        <v>321</v>
      </c>
      <c r="C330" s="9" t="s">
        <v>755</v>
      </c>
      <c r="D330" s="9" t="s">
        <v>767</v>
      </c>
      <c r="E330" s="21" t="n">
        <v>0.96</v>
      </c>
      <c r="F330" s="57" t="n">
        <f aca="false">Dashboard!$D$11</f>
        <v>0.959611271892303</v>
      </c>
      <c r="G330" s="44" t="n">
        <f aca="false">IFERROR(IF(ISNUMBER(F330),F330-E330,"n/a"),"n/a")</f>
        <v>-0.000388728107696856</v>
      </c>
      <c r="H330" s="54" t="n">
        <v>0.000500001</v>
      </c>
      <c r="I330" s="52" t="str">
        <f aca="false">IFERROR(IF(ISNUMBER(F330),IF(ABS(F330-E330)&lt;=H330,"PASS","FAIL"),"FAIL"),"FAIL")</f>
        <v>PASS</v>
      </c>
    </row>
    <row r="331" customFormat="false" ht="15" hidden="false" customHeight="false" outlineLevel="0" collapsed="false">
      <c r="B331" s="28" t="n">
        <v>322</v>
      </c>
      <c r="C331" s="9" t="s">
        <v>755</v>
      </c>
      <c r="D331" s="9" t="s">
        <v>768</v>
      </c>
      <c r="E331" s="60" t="n">
        <v>9.895</v>
      </c>
      <c r="F331" s="48" t="n">
        <f aca="false">Dashboard!$C$12</f>
        <v>9.89541271445919</v>
      </c>
      <c r="G331" s="44" t="n">
        <f aca="false">IFERROR(IF(ISNUMBER(F331),F331-E331,"n/a"),"n/a")</f>
        <v>0.000412714459185892</v>
      </c>
      <c r="H331" s="54" t="n">
        <v>0.000500001</v>
      </c>
      <c r="I331" s="52" t="str">
        <f aca="false">IFERROR(IF(ISNUMBER(F331),IF(ABS(F331-E331)&lt;=H331,"PASS","FAIL"),"FAIL"),"FAIL")</f>
        <v>PASS</v>
      </c>
    </row>
    <row r="332" customFormat="false" ht="15" hidden="false" customHeight="false" outlineLevel="0" collapsed="false">
      <c r="B332" s="28" t="n">
        <v>323</v>
      </c>
      <c r="C332" s="9" t="s">
        <v>755</v>
      </c>
      <c r="D332" s="9" t="s">
        <v>769</v>
      </c>
      <c r="E332" s="60" t="n">
        <v>9.792</v>
      </c>
      <c r="F332" s="48" t="n">
        <f aca="false">Dashboard!$D$12</f>
        <v>9.79191927894805</v>
      </c>
      <c r="G332" s="44" t="n">
        <f aca="false">IFERROR(IF(ISNUMBER(F332),F332-E332,"n/a"),"n/a")</f>
        <v>-8.07210519528923E-005</v>
      </c>
      <c r="H332" s="54" t="n">
        <v>0.000500001</v>
      </c>
      <c r="I332" s="52" t="str">
        <f aca="false">IFERROR(IF(ISNUMBER(F332),IF(ABS(F332-E332)&lt;=H332,"PASS","FAIL"),"FAIL"),"FAIL")</f>
        <v>PASS</v>
      </c>
    </row>
    <row r="333" customFormat="false" ht="15" hidden="false" customHeight="false" outlineLevel="0" collapsed="false">
      <c r="B333" s="28" t="n">
        <v>324</v>
      </c>
      <c r="C333" s="9" t="s">
        <v>755</v>
      </c>
      <c r="D333" s="9" t="s">
        <v>770</v>
      </c>
      <c r="E333" s="21" t="n">
        <v>0.047</v>
      </c>
      <c r="F333" s="57" t="n">
        <f aca="false">Dashboard!$C$14</f>
        <v>0.0467231621381886</v>
      </c>
      <c r="G333" s="44" t="n">
        <f aca="false">IFERROR(IF(ISNUMBER(F333),F333-E333,"n/a"),"n/a")</f>
        <v>-0.000276837861811388</v>
      </c>
      <c r="H333" s="54" t="n">
        <v>0.000500001</v>
      </c>
      <c r="I333" s="52" t="str">
        <f aca="false">IFERROR(IF(ISNUMBER(F333),IF(ABS(F333-E333)&lt;=H333,"PASS","FAIL"),"FAIL"),"FAIL")</f>
        <v>PASS</v>
      </c>
    </row>
    <row r="334" customFormat="false" ht="15" hidden="false" customHeight="false" outlineLevel="0" collapsed="false">
      <c r="B334" s="28" t="n">
        <v>325</v>
      </c>
      <c r="C334" s="9" t="s">
        <v>755</v>
      </c>
      <c r="D334" s="9" t="s">
        <v>771</v>
      </c>
      <c r="E334" s="21" t="n">
        <v>0.003</v>
      </c>
      <c r="F334" s="57" t="n">
        <f aca="false">Dashboard!$C$15</f>
        <v>0.00301154064756159</v>
      </c>
      <c r="G334" s="44" t="n">
        <f aca="false">IFERROR(IF(ISNUMBER(F334),F334-E334,"n/a"),"n/a")</f>
        <v>1.15406475615946E-005</v>
      </c>
      <c r="H334" s="54" t="n">
        <v>0.000500001</v>
      </c>
      <c r="I334" s="52" t="str">
        <f aca="false">IFERROR(IF(ISNUMBER(F334),IF(ABS(F334-E334)&lt;=H334,"PASS","FAIL"),"FAIL"),"FAIL")</f>
        <v>PASS</v>
      </c>
    </row>
    <row r="335" customFormat="false" ht="15" hidden="false" customHeight="false" outlineLevel="0" collapsed="false">
      <c r="B335" s="28" t="n">
        <v>326</v>
      </c>
      <c r="C335" s="9" t="s">
        <v>772</v>
      </c>
      <c r="D335" s="9" t="s">
        <v>773</v>
      </c>
      <c r="E335" s="18" t="n">
        <v>1.66</v>
      </c>
      <c r="F335" s="46" t="n">
        <f aca="false">Derived!$D$6</f>
        <v>1.66</v>
      </c>
      <c r="G335" s="44" t="n">
        <f aca="false">IFERROR(IF(ISNUMBER(F335),F335-E335,"n/a"),"n/a")</f>
        <v>0</v>
      </c>
      <c r="H335" s="54" t="n">
        <v>0.005000001</v>
      </c>
      <c r="I335" s="52" t="str">
        <f aca="false">IFERROR(IF(ISNUMBER(F335),IF(ABS(F335-E335)&lt;=H335,"PASS","FAIL"),"FAIL"),"FAIL")</f>
        <v>PASS</v>
      </c>
    </row>
    <row r="336" customFormat="false" ht="15" hidden="false" customHeight="false" outlineLevel="0" collapsed="false">
      <c r="B336" s="28" t="n">
        <v>327</v>
      </c>
      <c r="C336" s="9" t="s">
        <v>772</v>
      </c>
      <c r="D336" s="9" t="s">
        <v>774</v>
      </c>
      <c r="E336" s="18" t="n">
        <v>0.29</v>
      </c>
      <c r="F336" s="46" t="n">
        <f aca="false">Derived!$D$7</f>
        <v>0.29</v>
      </c>
      <c r="G336" s="44" t="n">
        <f aca="false">IFERROR(IF(ISNUMBER(F336),F336-E336,"n/a"),"n/a")</f>
        <v>0</v>
      </c>
      <c r="H336" s="54" t="n">
        <v>0.005000001</v>
      </c>
      <c r="I336" s="52" t="str">
        <f aca="false">IFERROR(IF(ISNUMBER(F336),IF(ABS(F336-E336)&lt;=H336,"PASS","FAIL"),"FAIL"),"FAIL")</f>
        <v>PASS</v>
      </c>
    </row>
    <row r="337" customFormat="false" ht="15" hidden="false" customHeight="false" outlineLevel="0" collapsed="false">
      <c r="B337" s="28" t="n">
        <v>328</v>
      </c>
      <c r="C337" s="9" t="s">
        <v>772</v>
      </c>
      <c r="D337" s="9" t="s">
        <v>775</v>
      </c>
      <c r="E337" s="18" t="n">
        <v>2.55</v>
      </c>
      <c r="F337" s="46" t="n">
        <f aca="false">Derived!$D$8</f>
        <v>2.55</v>
      </c>
      <c r="G337" s="44" t="n">
        <f aca="false">IFERROR(IF(ISNUMBER(F337),F337-E337,"n/a"),"n/a")</f>
        <v>0</v>
      </c>
      <c r="H337" s="54" t="n">
        <v>0.005000001</v>
      </c>
      <c r="I337" s="52" t="str">
        <f aca="false">IFERROR(IF(ISNUMBER(F337),IF(ABS(F337-E337)&lt;=H337,"PASS","FAIL"),"FAIL"),"FAIL")</f>
        <v>PASS</v>
      </c>
    </row>
    <row r="338" customFormat="false" ht="15" hidden="false" customHeight="false" outlineLevel="0" collapsed="false">
      <c r="B338" s="28" t="n">
        <v>329</v>
      </c>
      <c r="C338" s="9" t="s">
        <v>772</v>
      </c>
      <c r="D338" s="9" t="s">
        <v>776</v>
      </c>
      <c r="E338" s="55" t="n">
        <v>14378</v>
      </c>
      <c r="F338" s="43" t="n">
        <f aca="false">Derived!$D$9</f>
        <v>14378</v>
      </c>
      <c r="G338" s="44" t="n">
        <f aca="false">IFERROR(IF(ISNUMBER(F338),F338-E338,"n/a"),"n/a")</f>
        <v>0</v>
      </c>
      <c r="H338" s="54" t="n">
        <v>0.500000001</v>
      </c>
      <c r="I338" s="52" t="str">
        <f aca="false">IFERROR(IF(ISNUMBER(F338),IF(ABS(F338-E338)&lt;=H338,"PASS","FAIL"),"FAIL"),"FAIL")</f>
        <v>PASS</v>
      </c>
    </row>
    <row r="339" customFormat="false" ht="15" hidden="false" customHeight="false" outlineLevel="0" collapsed="false">
      <c r="B339" s="28" t="n">
        <v>330</v>
      </c>
      <c r="C339" s="9" t="s">
        <v>772</v>
      </c>
      <c r="D339" s="9" t="s">
        <v>777</v>
      </c>
      <c r="E339" s="55" t="n">
        <v>8690</v>
      </c>
      <c r="F339" s="43" t="n">
        <f aca="false">Derived!$D$10</f>
        <v>8690</v>
      </c>
      <c r="G339" s="44" t="n">
        <f aca="false">IFERROR(IF(ISNUMBER(F339),F339-E339,"n/a"),"n/a")</f>
        <v>0</v>
      </c>
      <c r="H339" s="54" t="n">
        <v>0.500000001</v>
      </c>
      <c r="I339" s="52" t="str">
        <f aca="false">IFERROR(IF(ISNUMBER(F339),IF(ABS(F339-E339)&lt;=H339,"PASS","FAIL"),"FAIL"),"FAIL")</f>
        <v>PASS</v>
      </c>
    </row>
    <row r="340" customFormat="false" ht="15" hidden="false" customHeight="false" outlineLevel="0" collapsed="false">
      <c r="B340" s="28" t="n">
        <v>331</v>
      </c>
      <c r="C340" s="9" t="s">
        <v>772</v>
      </c>
      <c r="D340" s="9" t="s">
        <v>778</v>
      </c>
      <c r="E340" s="18" t="n">
        <v>1.4</v>
      </c>
      <c r="F340" s="46" t="n">
        <f aca="false">Derived!$D$11</f>
        <v>1.4</v>
      </c>
      <c r="G340" s="44" t="n">
        <f aca="false">IFERROR(IF(ISNUMBER(F340),F340-E340,"n/a"),"n/a")</f>
        <v>0</v>
      </c>
      <c r="H340" s="54" t="n">
        <v>0.005000001</v>
      </c>
      <c r="I340" s="52" t="str">
        <f aca="false">IFERROR(IF(ISNUMBER(F340),IF(ABS(F340-E340)&lt;=H340,"PASS","FAIL"),"FAIL"),"FAIL")</f>
        <v>PASS</v>
      </c>
    </row>
    <row r="341" customFormat="false" ht="15" hidden="false" customHeight="false" outlineLevel="0" collapsed="false">
      <c r="B341" s="28" t="n">
        <v>332</v>
      </c>
      <c r="C341" s="9" t="s">
        <v>772</v>
      </c>
      <c r="D341" s="9" t="s">
        <v>779</v>
      </c>
      <c r="E341" s="60" t="n">
        <v>1.014</v>
      </c>
      <c r="F341" s="48" t="n">
        <f aca="false">Derived!$D$12</f>
        <v>1.014</v>
      </c>
      <c r="G341" s="44" t="n">
        <f aca="false">IFERROR(IF(ISNUMBER(F341),F341-E341,"n/a"),"n/a")</f>
        <v>0</v>
      </c>
      <c r="H341" s="54" t="n">
        <v>0.000500001</v>
      </c>
      <c r="I341" s="52" t="str">
        <f aca="false">IFERROR(IF(ISNUMBER(F341),IF(ABS(F341-E341)&lt;=H341,"PASS","FAIL"),"FAIL"),"FAIL")</f>
        <v>PASS</v>
      </c>
    </row>
    <row r="342" customFormat="false" ht="15" hidden="false" customHeight="false" outlineLevel="0" collapsed="false">
      <c r="B342" s="28" t="n">
        <v>333</v>
      </c>
      <c r="C342" s="9" t="s">
        <v>772</v>
      </c>
      <c r="D342" s="9" t="s">
        <v>780</v>
      </c>
      <c r="E342" s="56" t="n">
        <v>1.0572</v>
      </c>
      <c r="F342" s="49" t="n">
        <f aca="false">Derived!$D$13</f>
        <v>1.057187014416</v>
      </c>
      <c r="G342" s="44" t="n">
        <f aca="false">IFERROR(IF(ISNUMBER(F342),F342-E342,"n/a"),"n/a")</f>
        <v>-1.29855839998694E-005</v>
      </c>
      <c r="H342" s="54" t="n">
        <v>5.0001E-005</v>
      </c>
      <c r="I342" s="52" t="str">
        <f aca="false">IFERROR(IF(ISNUMBER(F342),IF(ABS(F342-E342)&lt;=H342,"PASS","FAIL"),"FAIL"),"FAIL")</f>
        <v>PASS</v>
      </c>
    </row>
    <row r="343" customFormat="false" ht="15" hidden="false" customHeight="false" outlineLevel="0" collapsed="false">
      <c r="B343" s="28" t="n">
        <v>334</v>
      </c>
      <c r="C343" s="9" t="s">
        <v>772</v>
      </c>
      <c r="D343" s="9" t="s">
        <v>781</v>
      </c>
      <c r="E343" s="18" t="n">
        <v>1.81</v>
      </c>
      <c r="F343" s="46" t="n">
        <f aca="false">Derived!$D$14</f>
        <v>1.81</v>
      </c>
      <c r="G343" s="44" t="n">
        <f aca="false">IFERROR(IF(ISNUMBER(F343),F343-E343,"n/a"),"n/a")</f>
        <v>0</v>
      </c>
      <c r="H343" s="54" t="n">
        <v>0.005000001</v>
      </c>
      <c r="I343" s="52" t="str">
        <f aca="false">IFERROR(IF(ISNUMBER(F343),IF(ABS(F343-E343)&lt;=H343,"PASS","FAIL"),"FAIL"),"FAIL")</f>
        <v>PASS</v>
      </c>
    </row>
    <row r="344" customFormat="false" ht="15" hidden="false" customHeight="false" outlineLevel="0" collapsed="false">
      <c r="B344" s="28" t="n">
        <v>335</v>
      </c>
      <c r="C344" s="9" t="s">
        <v>772</v>
      </c>
      <c r="D344" s="9" t="s">
        <v>782</v>
      </c>
      <c r="E344" s="18" t="n">
        <v>5.43</v>
      </c>
      <c r="F344" s="46" t="n">
        <f aca="false">Derived!$D$15</f>
        <v>5.43</v>
      </c>
      <c r="G344" s="44" t="n">
        <f aca="false">IFERROR(IF(ISNUMBER(F344),F344-E344,"n/a"),"n/a")</f>
        <v>0</v>
      </c>
      <c r="H344" s="54" t="n">
        <v>0.005000001</v>
      </c>
      <c r="I344" s="52" t="str">
        <f aca="false">IFERROR(IF(ISNUMBER(F344),IF(ABS(F344-E344)&lt;=H344,"PASS","FAIL"),"FAIL"),"FAIL")</f>
        <v>PASS</v>
      </c>
    </row>
    <row r="345" customFormat="false" ht="15" hidden="false" customHeight="false" outlineLevel="0" collapsed="false">
      <c r="B345" s="28" t="n">
        <v>336</v>
      </c>
      <c r="C345" s="9" t="s">
        <v>772</v>
      </c>
      <c r="D345" s="9" t="s">
        <v>783</v>
      </c>
      <c r="E345" s="18" t="n">
        <v>3.46</v>
      </c>
      <c r="F345" s="46" t="n">
        <f aca="false">Derived!$D$16</f>
        <v>3.46</v>
      </c>
      <c r="G345" s="44" t="n">
        <f aca="false">IFERROR(IF(ISNUMBER(F345),F345-E345,"n/a"),"n/a")</f>
        <v>0</v>
      </c>
      <c r="H345" s="54" t="n">
        <v>0.005000001</v>
      </c>
      <c r="I345" s="52" t="str">
        <f aca="false">IFERROR(IF(ISNUMBER(F345),IF(ABS(F345-E345)&lt;=H345,"PASS","FAIL"),"FAIL"),"FAIL")</f>
        <v>PASS</v>
      </c>
    </row>
    <row r="346" customFormat="false" ht="15" hidden="false" customHeight="false" outlineLevel="0" collapsed="false">
      <c r="B346" s="28" t="n">
        <v>337</v>
      </c>
      <c r="C346" s="9" t="s">
        <v>772</v>
      </c>
      <c r="D346" s="9" t="s">
        <v>784</v>
      </c>
      <c r="E346" s="18" t="n">
        <v>2.02</v>
      </c>
      <c r="F346" s="46" t="n">
        <f aca="false">Derived!$D$17</f>
        <v>2.02</v>
      </c>
      <c r="G346" s="44" t="n">
        <f aca="false">IFERROR(IF(ISNUMBER(F346),F346-E346,"n/a"),"n/a")</f>
        <v>0</v>
      </c>
      <c r="H346" s="54" t="n">
        <v>0.005000001</v>
      </c>
      <c r="I346" s="52" t="str">
        <f aca="false">IFERROR(IF(ISNUMBER(F346),IF(ABS(F346-E346)&lt;=H346,"PASS","FAIL"),"FAIL"),"FAIL")</f>
        <v>PASS</v>
      </c>
    </row>
    <row r="347" customFormat="false" ht="15" hidden="false" customHeight="false" outlineLevel="0" collapsed="false">
      <c r="B347" s="28" t="n">
        <v>338</v>
      </c>
      <c r="C347" s="9" t="s">
        <v>772</v>
      </c>
      <c r="D347" s="9" t="s">
        <v>785</v>
      </c>
      <c r="E347" s="55" t="n">
        <v>250000</v>
      </c>
      <c r="F347" s="43" t="n">
        <f aca="false">Derived!$D$18</f>
        <v>250000</v>
      </c>
      <c r="G347" s="44" t="n">
        <f aca="false">IFERROR(IF(ISNUMBER(F347),F347-E347,"n/a"),"n/a")</f>
        <v>0</v>
      </c>
      <c r="H347" s="54" t="n">
        <v>0.500000001</v>
      </c>
      <c r="I347" s="52" t="str">
        <f aca="false">IFERROR(IF(ISNUMBER(F347),IF(ABS(F347-E347)&lt;=H347,"PASS","FAIL"),"FAIL"),"FAIL")</f>
        <v>PASS</v>
      </c>
    </row>
    <row r="348" customFormat="false" ht="15" hidden="false" customHeight="false" outlineLevel="0" collapsed="false">
      <c r="B348" s="28" t="n">
        <v>339</v>
      </c>
      <c r="C348" s="9" t="s">
        <v>772</v>
      </c>
      <c r="D348" s="9" t="s">
        <v>786</v>
      </c>
      <c r="E348" s="18" t="n">
        <v>0.02</v>
      </c>
      <c r="F348" s="46" t="n">
        <f aca="false">Derived!$D$19</f>
        <v>0.02</v>
      </c>
      <c r="G348" s="44" t="n">
        <f aca="false">IFERROR(IF(ISNUMBER(F348),F348-E348,"n/a"),"n/a")</f>
        <v>0</v>
      </c>
      <c r="H348" s="54" t="n">
        <v>0.005000001</v>
      </c>
      <c r="I348" s="52" t="str">
        <f aca="false">IFERROR(IF(ISNUMBER(F348),IF(ABS(F348-E348)&lt;=H348,"PASS","FAIL"),"FAIL"),"FAIL")</f>
        <v>PASS</v>
      </c>
    </row>
    <row r="349" customFormat="false" ht="15" hidden="false" customHeight="false" outlineLevel="0" collapsed="false">
      <c r="B349" s="28" t="n">
        <v>340</v>
      </c>
      <c r="C349" s="9" t="s">
        <v>772</v>
      </c>
      <c r="D349" s="9" t="s">
        <v>787</v>
      </c>
      <c r="E349" s="18" t="n">
        <v>2.55</v>
      </c>
      <c r="F349" s="46" t="n">
        <f aca="false">Derived!$D$20</f>
        <v>2.55</v>
      </c>
      <c r="G349" s="44" t="n">
        <f aca="false">IFERROR(IF(ISNUMBER(F349),F349-E349,"n/a"),"n/a")</f>
        <v>0</v>
      </c>
      <c r="H349" s="54" t="n">
        <v>0.005000001</v>
      </c>
      <c r="I349" s="52" t="str">
        <f aca="false">IFERROR(IF(ISNUMBER(F349),IF(ABS(F349-E349)&lt;=H349,"PASS","FAIL"),"FAIL"),"FAIL")</f>
        <v>PASS</v>
      </c>
    </row>
    <row r="350" customFormat="false" ht="15" hidden="false" customHeight="false" outlineLevel="0" collapsed="false">
      <c r="B350" s="28" t="n">
        <v>341</v>
      </c>
      <c r="C350" s="9" t="s">
        <v>772</v>
      </c>
      <c r="D350" s="9" t="s">
        <v>788</v>
      </c>
      <c r="E350" s="18" t="n">
        <v>0.37</v>
      </c>
      <c r="F350" s="46" t="n">
        <f aca="false">Derived!$D$21</f>
        <v>0.3723</v>
      </c>
      <c r="G350" s="44" t="n">
        <f aca="false">IFERROR(IF(ISNUMBER(F350),F350-E350,"n/a"),"n/a")</f>
        <v>0.00230000000000014</v>
      </c>
      <c r="H350" s="54" t="n">
        <v>0.005000001</v>
      </c>
      <c r="I350" s="52" t="str">
        <f aca="false">IFERROR(IF(ISNUMBER(F350),IF(ABS(F350-E350)&lt;=H350,"PASS","FAIL"),"FAIL"),"FAIL")</f>
        <v>PASS</v>
      </c>
    </row>
    <row r="351" customFormat="false" ht="15" hidden="false" customHeight="false" outlineLevel="0" collapsed="false">
      <c r="B351" s="28" t="n">
        <v>342</v>
      </c>
      <c r="C351" s="9" t="s">
        <v>772</v>
      </c>
      <c r="D351" s="9" t="s">
        <v>789</v>
      </c>
      <c r="E351" s="18" t="n">
        <v>0.24</v>
      </c>
      <c r="F351" s="46" t="n">
        <f aca="false">Derived!$D$22</f>
        <v>0.2355</v>
      </c>
      <c r="G351" s="44" t="n">
        <f aca="false">IFERROR(IF(ISNUMBER(F351),F351-E351,"n/a"),"n/a")</f>
        <v>-0.00449999999999995</v>
      </c>
      <c r="H351" s="54" t="n">
        <v>0.005000001</v>
      </c>
      <c r="I351" s="52" t="str">
        <f aca="false">IFERROR(IF(ISNUMBER(F351),IF(ABS(F351-E351)&lt;=H351,"PASS","FAIL"),"FAIL"),"FAIL")</f>
        <v>PASS</v>
      </c>
    </row>
    <row r="352" customFormat="false" ht="15" hidden="false" customHeight="false" outlineLevel="0" collapsed="false">
      <c r="B352" s="28" t="n">
        <v>343</v>
      </c>
      <c r="C352" s="9" t="s">
        <v>772</v>
      </c>
      <c r="D352" s="9" t="s">
        <v>790</v>
      </c>
      <c r="E352" s="18" t="n">
        <v>1.81</v>
      </c>
      <c r="F352" s="46" t="n">
        <f aca="false">Derived!$D$23</f>
        <v>1.81</v>
      </c>
      <c r="G352" s="44" t="n">
        <f aca="false">IFERROR(IF(ISNUMBER(F352),F352-E352,"n/a"),"n/a")</f>
        <v>0</v>
      </c>
      <c r="H352" s="54" t="n">
        <v>0.005000001</v>
      </c>
      <c r="I352" s="52" t="str">
        <f aca="false">IFERROR(IF(ISNUMBER(F352),IF(ABS(F352-E352)&lt;=H352,"PASS","FAIL"),"FAIL"),"FAIL")</f>
        <v>PASS</v>
      </c>
    </row>
    <row r="353" customFormat="false" ht="15" hidden="false" customHeight="false" outlineLevel="0" collapsed="false">
      <c r="B353" s="28" t="n">
        <v>344</v>
      </c>
      <c r="C353" s="9" t="s">
        <v>772</v>
      </c>
      <c r="D353" s="9" t="s">
        <v>791</v>
      </c>
      <c r="E353" s="18" t="n">
        <v>0.73</v>
      </c>
      <c r="F353" s="46" t="n">
        <f aca="false">Derived!$D$24</f>
        <v>0.73</v>
      </c>
      <c r="G353" s="44" t="n">
        <f aca="false">IFERROR(IF(ISNUMBER(F353),F353-E353,"n/a"),"n/a")</f>
        <v>0</v>
      </c>
      <c r="H353" s="54" t="n">
        <v>0.005000001</v>
      </c>
      <c r="I353" s="52" t="str">
        <f aca="false">IFERROR(IF(ISNUMBER(F353),IF(ABS(F353-E353)&lt;=H353,"PASS","FAIL"),"FAIL"),"FAIL")</f>
        <v>PASS</v>
      </c>
    </row>
    <row r="354" customFormat="false" ht="15" hidden="false" customHeight="false" outlineLevel="0" collapsed="false">
      <c r="B354" s="28" t="n">
        <v>345</v>
      </c>
      <c r="C354" s="9" t="s">
        <v>772</v>
      </c>
      <c r="D354" s="9" t="s">
        <v>792</v>
      </c>
      <c r="E354" s="18" t="n">
        <v>0.21</v>
      </c>
      <c r="F354" s="46" t="n">
        <f aca="false">Derived!$D$25</f>
        <v>0.2115</v>
      </c>
      <c r="G354" s="44" t="n">
        <f aca="false">IFERROR(IF(ISNUMBER(F354),F354-E354,"n/a"),"n/a")</f>
        <v>0.00150000000000003</v>
      </c>
      <c r="H354" s="54" t="n">
        <v>0.005000001</v>
      </c>
      <c r="I354" s="52" t="str">
        <f aca="false">IFERROR(IF(ISNUMBER(F354),IF(ABS(F354-E354)&lt;=H354,"PASS","FAIL"),"FAIL"),"FAIL")</f>
        <v>PASS</v>
      </c>
    </row>
    <row r="355" customFormat="false" ht="15" hidden="false" customHeight="false" outlineLevel="0" collapsed="false">
      <c r="B355" s="28" t="n">
        <v>346</v>
      </c>
      <c r="C355" s="9" t="s">
        <v>772</v>
      </c>
      <c r="D355" s="9" t="s">
        <v>793</v>
      </c>
      <c r="E355" s="18" t="n">
        <v>4.55</v>
      </c>
      <c r="F355" s="46" t="n">
        <f aca="false">Derived!$D$26</f>
        <v>4.55</v>
      </c>
      <c r="G355" s="44" t="n">
        <f aca="false">IFERROR(IF(ISNUMBER(F355),F355-E355,"n/a"),"n/a")</f>
        <v>0</v>
      </c>
      <c r="H355" s="54" t="n">
        <v>0.005000001</v>
      </c>
      <c r="I355" s="52" t="str">
        <f aca="false">IFERROR(IF(ISNUMBER(F355),IF(ABS(F355-E355)&lt;=H355,"PASS","FAIL"),"FAIL"),"FAIL")</f>
        <v>PASS</v>
      </c>
    </row>
    <row r="356" customFormat="false" ht="15" hidden="false" customHeight="false" outlineLevel="0" collapsed="false">
      <c r="B356" s="28" t="n">
        <v>347</v>
      </c>
      <c r="C356" s="9" t="s">
        <v>772</v>
      </c>
      <c r="D356" s="9" t="s">
        <v>794</v>
      </c>
      <c r="E356" s="18" t="n">
        <v>0.23</v>
      </c>
      <c r="F356" s="46" t="n">
        <f aca="false">Derived!$D$27</f>
        <v>0.2275</v>
      </c>
      <c r="G356" s="44" t="n">
        <f aca="false">IFERROR(IF(ISNUMBER(F356),F356-E356,"n/a"),"n/a")</f>
        <v>-0.00249999999999997</v>
      </c>
      <c r="H356" s="54" t="n">
        <v>0.005000001</v>
      </c>
      <c r="I356" s="52" t="str">
        <f aca="false">IFERROR(IF(ISNUMBER(F356),IF(ABS(F356-E356)&lt;=H356,"PASS","FAIL"),"FAIL"),"FAIL")</f>
        <v>PASS</v>
      </c>
    </row>
    <row r="357" customFormat="false" ht="15" hidden="false" customHeight="false" outlineLevel="0" collapsed="false">
      <c r="B357" s="28" t="n">
        <v>348</v>
      </c>
      <c r="C357" s="9" t="s">
        <v>772</v>
      </c>
      <c r="D357" s="9" t="s">
        <v>795</v>
      </c>
      <c r="E357" s="55" t="n">
        <v>36750</v>
      </c>
      <c r="F357" s="43" t="n">
        <f aca="false">Derived!$D$28</f>
        <v>36750</v>
      </c>
      <c r="G357" s="44" t="n">
        <f aca="false">IFERROR(IF(ISNUMBER(F357),F357-E357,"n/a"),"n/a")</f>
        <v>0</v>
      </c>
      <c r="H357" s="54" t="n">
        <v>0.500000001</v>
      </c>
      <c r="I357" s="52" t="str">
        <f aca="false">IFERROR(IF(ISNUMBER(F357),IF(ABS(F357-E357)&lt;=H357,"PASS","FAIL"),"FAIL"),"FAIL")</f>
        <v>PASS</v>
      </c>
    </row>
    <row r="358" customFormat="false" ht="15" hidden="false" customHeight="false" outlineLevel="0" collapsed="false">
      <c r="B358" s="28" t="n">
        <v>349</v>
      </c>
      <c r="C358" s="9" t="s">
        <v>772</v>
      </c>
      <c r="D358" s="9" t="s">
        <v>796</v>
      </c>
      <c r="E358" s="18" t="n">
        <v>0.44</v>
      </c>
      <c r="F358" s="46" t="n">
        <f aca="false">Derived!$D$29</f>
        <v>0.44</v>
      </c>
      <c r="G358" s="44" t="n">
        <f aca="false">IFERROR(IF(ISNUMBER(F358),F358-E358,"n/a"),"n/a")</f>
        <v>0</v>
      </c>
      <c r="H358" s="54" t="n">
        <v>0.005000001</v>
      </c>
      <c r="I358" s="52" t="str">
        <f aca="false">IFERROR(IF(ISNUMBER(F358),IF(ABS(F358-E358)&lt;=H358,"PASS","FAIL"),"FAIL"),"FAIL")</f>
        <v>PASS</v>
      </c>
    </row>
    <row r="359" customFormat="false" ht="15" hidden="false" customHeight="false" outlineLevel="0" collapsed="false">
      <c r="B359" s="28" t="n">
        <v>350</v>
      </c>
      <c r="C359" s="9" t="s">
        <v>772</v>
      </c>
      <c r="D359" s="9" t="s">
        <v>797</v>
      </c>
      <c r="E359" s="55" t="n">
        <v>94938</v>
      </c>
      <c r="F359" s="43" t="n">
        <f aca="false">Derived!$D$30</f>
        <v>94937.7193993669</v>
      </c>
      <c r="G359" s="44" t="n">
        <f aca="false">IFERROR(IF(ISNUMBER(F359),F359-E359,"n/a"),"n/a")</f>
        <v>-0.28060063313751</v>
      </c>
      <c r="H359" s="54" t="n">
        <v>0.500000001</v>
      </c>
      <c r="I359" s="52" t="str">
        <f aca="false">IFERROR(IF(ISNUMBER(F359),IF(ABS(F359-E359)&lt;=H359,"PASS","FAIL"),"FAIL"),"FAIL")</f>
        <v>PASS</v>
      </c>
    </row>
    <row r="360" customFormat="false" ht="15" hidden="false" customHeight="false" outlineLevel="0" collapsed="false">
      <c r="B360" s="28" t="n">
        <v>351</v>
      </c>
      <c r="C360" s="9" t="s">
        <v>772</v>
      </c>
      <c r="D360" s="9" t="s">
        <v>798</v>
      </c>
      <c r="E360" s="55" t="n">
        <v>760</v>
      </c>
      <c r="F360" s="43" t="n">
        <f aca="false">Derived!$D$31</f>
        <v>760</v>
      </c>
      <c r="G360" s="44" t="n">
        <f aca="false">IFERROR(IF(ISNUMBER(F360),F360-E360,"n/a"),"n/a")</f>
        <v>0</v>
      </c>
      <c r="H360" s="54" t="n">
        <v>0.500000001</v>
      </c>
      <c r="I360" s="52" t="str">
        <f aca="false">IFERROR(IF(ISNUMBER(F360),IF(ABS(F360-E360)&lt;=H360,"PASS","FAIL"),"FAIL"),"FAIL")</f>
        <v>PASS</v>
      </c>
    </row>
    <row r="361" customFormat="false" ht="15" hidden="false" customHeight="false" outlineLevel="0" collapsed="false">
      <c r="B361" s="28" t="n">
        <v>352</v>
      </c>
      <c r="C361" s="9" t="s">
        <v>772</v>
      </c>
      <c r="D361" s="9" t="s">
        <v>799</v>
      </c>
      <c r="E361" s="55" t="n">
        <v>229</v>
      </c>
      <c r="F361" s="43" t="n">
        <f aca="false">Derived!$D$32</f>
        <v>229</v>
      </c>
      <c r="G361" s="44" t="n">
        <f aca="false">IFERROR(IF(ISNUMBER(F361),F361-E361,"n/a"),"n/a")</f>
        <v>0</v>
      </c>
      <c r="H361" s="54" t="n">
        <v>0.500000001</v>
      </c>
      <c r="I361" s="52" t="str">
        <f aca="false">IFERROR(IF(ISNUMBER(F361),IF(ABS(F361-E361)&lt;=H361,"PASS","FAIL"),"FAIL"),"FAIL")</f>
        <v>PASS</v>
      </c>
    </row>
    <row r="362" customFormat="false" ht="15" hidden="false" customHeight="false" outlineLevel="0" collapsed="false">
      <c r="B362" s="28" t="n">
        <v>353</v>
      </c>
      <c r="C362" s="9" t="s">
        <v>772</v>
      </c>
      <c r="D362" s="9" t="s">
        <v>800</v>
      </c>
      <c r="E362" s="55" t="n">
        <v>11474</v>
      </c>
      <c r="F362" s="43" t="n">
        <f aca="false">Derived!$D$33</f>
        <v>11474</v>
      </c>
      <c r="G362" s="44" t="n">
        <f aca="false">IFERROR(IF(ISNUMBER(F362),F362-E362,"n/a"),"n/a")</f>
        <v>0</v>
      </c>
      <c r="H362" s="54" t="n">
        <v>0.500000001</v>
      </c>
      <c r="I362" s="52" t="str">
        <f aca="false">IFERROR(IF(ISNUMBER(F362),IF(ABS(F362-E362)&lt;=H362,"PASS","FAIL"),"FAIL"),"FAIL")</f>
        <v>PASS</v>
      </c>
    </row>
    <row r="363" customFormat="false" ht="15" hidden="false" customHeight="false" outlineLevel="0" collapsed="false">
      <c r="B363" s="28" t="n">
        <v>354</v>
      </c>
      <c r="C363" s="9" t="s">
        <v>772</v>
      </c>
      <c r="D363" s="9" t="s">
        <v>801</v>
      </c>
      <c r="E363" s="55" t="n">
        <v>10868</v>
      </c>
      <c r="F363" s="43" t="n">
        <f aca="false">Derived!$D$34</f>
        <v>10868</v>
      </c>
      <c r="G363" s="44" t="n">
        <f aca="false">IFERROR(IF(ISNUMBER(F363),F363-E363,"n/a"),"n/a")</f>
        <v>0</v>
      </c>
      <c r="H363" s="54" t="n">
        <v>0.500000001</v>
      </c>
      <c r="I363" s="52" t="str">
        <f aca="false">IFERROR(IF(ISNUMBER(F363),IF(ABS(F363-E363)&lt;=H363,"PASS","FAIL"),"FAIL"),"FAIL")</f>
        <v>PASS</v>
      </c>
    </row>
    <row r="364" customFormat="false" ht="15" hidden="false" customHeight="false" outlineLevel="0" collapsed="false">
      <c r="B364" s="28" t="n">
        <v>355</v>
      </c>
      <c r="C364" s="9" t="s">
        <v>772</v>
      </c>
      <c r="D364" s="9" t="s">
        <v>802</v>
      </c>
      <c r="E364" s="55" t="n">
        <v>606</v>
      </c>
      <c r="F364" s="43" t="n">
        <f aca="false">Derived!$D$35</f>
        <v>606</v>
      </c>
      <c r="G364" s="44" t="n">
        <f aca="false">IFERROR(IF(ISNUMBER(F364),F364-E364,"n/a"),"n/a")</f>
        <v>0</v>
      </c>
      <c r="H364" s="54" t="n">
        <v>0.500000001</v>
      </c>
      <c r="I364" s="52" t="str">
        <f aca="false">IFERROR(IF(ISNUMBER(F364),IF(ABS(F364-E364)&lt;=H364,"PASS","FAIL"),"FAIL"),"FAIL")</f>
        <v>PASS</v>
      </c>
    </row>
    <row r="365" customFormat="false" ht="15" hidden="false" customHeight="false" outlineLevel="0" collapsed="false">
      <c r="B365" s="28" t="n">
        <v>356</v>
      </c>
      <c r="C365" s="9" t="s">
        <v>772</v>
      </c>
      <c r="D365" s="9" t="s">
        <v>803</v>
      </c>
      <c r="E365" s="18" t="n">
        <v>1.66</v>
      </c>
      <c r="F365" s="46" t="n">
        <f aca="false">Derived!$D$36</f>
        <v>1.66</v>
      </c>
      <c r="G365" s="44" t="n">
        <f aca="false">IFERROR(IF(ISNUMBER(F365),F365-E365,"n/a"),"n/a")</f>
        <v>0</v>
      </c>
      <c r="H365" s="54" t="n">
        <v>0.005000001</v>
      </c>
      <c r="I365" s="52" t="str">
        <f aca="false">IFERROR(IF(ISNUMBER(F365),IF(ABS(F365-E365)&lt;=H365,"PASS","FAIL"),"FAIL"),"FAIL")</f>
        <v>PASS</v>
      </c>
    </row>
    <row r="366" customFormat="false" ht="15" hidden="false" customHeight="false" outlineLevel="0" collapsed="false">
      <c r="B366" s="28" t="n">
        <v>357</v>
      </c>
      <c r="C366" s="9" t="s">
        <v>772</v>
      </c>
      <c r="D366" s="9" t="s">
        <v>804</v>
      </c>
      <c r="E366" s="18" t="n">
        <v>0.29</v>
      </c>
      <c r="F366" s="46" t="n">
        <f aca="false">Derived!$D$37</f>
        <v>0.29</v>
      </c>
      <c r="G366" s="44" t="n">
        <f aca="false">IFERROR(IF(ISNUMBER(F366),F366-E366,"n/a"),"n/a")</f>
        <v>0</v>
      </c>
      <c r="H366" s="54" t="n">
        <v>0.005000001</v>
      </c>
      <c r="I366" s="52" t="str">
        <f aca="false">IFERROR(IF(ISNUMBER(F366),IF(ABS(F366-E366)&lt;=H366,"PASS","FAIL"),"FAIL"),"FAIL")</f>
        <v>PASS</v>
      </c>
    </row>
    <row r="367" customFormat="false" ht="15" hidden="false" customHeight="false" outlineLevel="0" collapsed="false">
      <c r="B367" s="28" t="n">
        <v>358</v>
      </c>
      <c r="C367" s="9" t="s">
        <v>772</v>
      </c>
      <c r="D367" s="9" t="s">
        <v>805</v>
      </c>
      <c r="E367" s="18" t="n">
        <v>0.61</v>
      </c>
      <c r="F367" s="46" t="n">
        <f aca="false">Derived!$D$38</f>
        <v>0.61</v>
      </c>
      <c r="G367" s="44" t="n">
        <f aca="false">IFERROR(IF(ISNUMBER(F367),F367-E367,"n/a"),"n/a")</f>
        <v>0</v>
      </c>
      <c r="H367" s="54" t="n">
        <v>0.005000001</v>
      </c>
      <c r="I367" s="52" t="str">
        <f aca="false">IFERROR(IF(ISNUMBER(F367),IF(ABS(F367-E367)&lt;=H367,"PASS","FAIL"),"FAIL"),"FAIL")</f>
        <v>PASS</v>
      </c>
    </row>
    <row r="368" customFormat="false" ht="15" hidden="false" customHeight="false" outlineLevel="0" collapsed="false">
      <c r="B368" s="28" t="n">
        <v>359</v>
      </c>
      <c r="C368" s="9" t="s">
        <v>772</v>
      </c>
      <c r="D368" s="9" t="s">
        <v>806</v>
      </c>
      <c r="E368" s="55" t="n">
        <v>36750</v>
      </c>
      <c r="F368" s="43" t="n">
        <f aca="false">Derived!$D$39</f>
        <v>36750</v>
      </c>
      <c r="G368" s="44" t="n">
        <f aca="false">IFERROR(IF(ISNUMBER(F368),F368-E368,"n/a"),"n/a")</f>
        <v>0</v>
      </c>
      <c r="H368" s="54" t="n">
        <v>0.500000001</v>
      </c>
      <c r="I368" s="52" t="str">
        <f aca="false">IFERROR(IF(ISNUMBER(F368),IF(ABS(F368-E368)&lt;=H368,"PASS","FAIL"),"FAIL"),"FAIL")</f>
        <v>PASS</v>
      </c>
    </row>
    <row r="369" customFormat="false" ht="15" hidden="false" customHeight="false" outlineLevel="0" collapsed="false">
      <c r="B369" s="28" t="n">
        <v>360</v>
      </c>
      <c r="C369" s="9" t="s">
        <v>772</v>
      </c>
      <c r="D369" s="9" t="s">
        <v>807</v>
      </c>
      <c r="E369" s="55" t="n">
        <v>15585</v>
      </c>
      <c r="F369" s="43" t="n">
        <f aca="false">Derived!$D$40</f>
        <v>15585</v>
      </c>
      <c r="G369" s="44" t="n">
        <f aca="false">IFERROR(IF(ISNUMBER(F369),F369-E369,"n/a"),"n/a")</f>
        <v>0</v>
      </c>
      <c r="H369" s="54" t="n">
        <v>0.500000001</v>
      </c>
      <c r="I369" s="52" t="str">
        <f aca="false">IFERROR(IF(ISNUMBER(F369),IF(ABS(F369-E369)&lt;=H369,"PASS","FAIL"),"FAIL"),"FAIL")</f>
        <v>PASS</v>
      </c>
    </row>
    <row r="370" customFormat="false" ht="15" hidden="false" customHeight="false" outlineLevel="0" collapsed="false">
      <c r="B370" s="28" t="n">
        <v>361</v>
      </c>
      <c r="C370" s="9" t="s">
        <v>772</v>
      </c>
      <c r="D370" s="9" t="s">
        <v>808</v>
      </c>
      <c r="E370" s="38" t="n">
        <v>39.6</v>
      </c>
      <c r="F370" s="50" t="n">
        <f aca="false">Derived!$D$41</f>
        <v>39.6</v>
      </c>
      <c r="G370" s="44" t="n">
        <f aca="false">IFERROR(IF(ISNUMBER(F370),F370-E370,"n/a"),"n/a")</f>
        <v>0</v>
      </c>
      <c r="H370" s="54" t="n">
        <v>0.050000001</v>
      </c>
      <c r="I370" s="52" t="str">
        <f aca="false">IFERROR(IF(ISNUMBER(F370),IF(ABS(F370-E370)&lt;=H370,"PASS","FAIL"),"FAIL"),"FAIL")</f>
        <v>PASS</v>
      </c>
    </row>
    <row r="371" customFormat="false" ht="15" hidden="false" customHeight="false" outlineLevel="0" collapsed="false">
      <c r="B371" s="28" t="n">
        <v>362</v>
      </c>
      <c r="C371" s="9" t="s">
        <v>772</v>
      </c>
      <c r="D371" s="9" t="s">
        <v>809</v>
      </c>
      <c r="E371" s="55" t="n">
        <v>302000</v>
      </c>
      <c r="F371" s="43" t="n">
        <f aca="false">Derived!$D$42</f>
        <v>302000</v>
      </c>
      <c r="G371" s="44" t="n">
        <f aca="false">IFERROR(IF(ISNUMBER(F371),F371-E371,"n/a"),"n/a")</f>
        <v>0</v>
      </c>
      <c r="H371" s="54" t="n">
        <v>0.500000001</v>
      </c>
      <c r="I371" s="52" t="str">
        <f aca="false">IFERROR(IF(ISNUMBER(F371),IF(ABS(F371-E371)&lt;=H371,"PASS","FAIL"),"FAIL"),"FAIL")</f>
        <v>PASS</v>
      </c>
    </row>
    <row r="372" customFormat="false" ht="15" hidden="false" customHeight="false" outlineLevel="0" collapsed="false">
      <c r="B372" s="28" t="n">
        <v>363</v>
      </c>
      <c r="C372" s="9" t="s">
        <v>772</v>
      </c>
      <c r="D372" s="9" t="s">
        <v>810</v>
      </c>
      <c r="E372" s="38" t="n">
        <v>60.4</v>
      </c>
      <c r="F372" s="50" t="n">
        <f aca="false">Derived!$D$43</f>
        <v>60.4</v>
      </c>
      <c r="G372" s="44" t="n">
        <f aca="false">IFERROR(IF(ISNUMBER(F372),F372-E372,"n/a"),"n/a")</f>
        <v>0</v>
      </c>
      <c r="H372" s="54" t="n">
        <v>0.050000001</v>
      </c>
      <c r="I372" s="52" t="str">
        <f aca="false">IFERROR(IF(ISNUMBER(F372),IF(ABS(F372-E372)&lt;=H372,"PASS","FAIL"),"FAIL"),"FAIL")</f>
        <v>PASS</v>
      </c>
    </row>
    <row r="373" customFormat="false" ht="15" hidden="false" customHeight="false" outlineLevel="0" collapsed="false">
      <c r="B373" s="28" t="n">
        <v>364</v>
      </c>
      <c r="C373" s="9" t="s">
        <v>772</v>
      </c>
      <c r="D373" s="9" t="s">
        <v>811</v>
      </c>
      <c r="E373" s="18" t="n">
        <v>12.17</v>
      </c>
      <c r="F373" s="46" t="n">
        <f aca="false">Derived!$D$44</f>
        <v>12.17</v>
      </c>
      <c r="G373" s="44" t="n">
        <f aca="false">IFERROR(IF(ISNUMBER(F373),F373-E373,"n/a"),"n/a")</f>
        <v>0</v>
      </c>
      <c r="H373" s="54" t="n">
        <v>0.005000001</v>
      </c>
      <c r="I373" s="52" t="str">
        <f aca="false">IFERROR(IF(ISNUMBER(F373),IF(ABS(F373-E373)&lt;=H373,"PASS","FAIL"),"FAIL"),"FAIL")</f>
        <v>PASS</v>
      </c>
    </row>
    <row r="374" customFormat="false" ht="15" hidden="false" customHeight="false" outlineLevel="0" collapsed="false">
      <c r="B374" s="28" t="n">
        <v>365</v>
      </c>
      <c r="C374" s="9" t="s">
        <v>772</v>
      </c>
      <c r="D374" s="9" t="s">
        <v>812</v>
      </c>
      <c r="E374" s="18" t="n">
        <v>6.71</v>
      </c>
      <c r="F374" s="46" t="n">
        <f aca="false">Derived!$D$45</f>
        <v>6.71</v>
      </c>
      <c r="G374" s="44" t="n">
        <f aca="false">IFERROR(IF(ISNUMBER(F374),F374-E374,"n/a"),"n/a")</f>
        <v>0</v>
      </c>
      <c r="H374" s="54" t="n">
        <v>0.005000001</v>
      </c>
      <c r="I374" s="52" t="str">
        <f aca="false">IFERROR(IF(ISNUMBER(F374),IF(ABS(F374-E374)&lt;=H374,"PASS","FAIL"),"FAIL"),"FAIL")</f>
        <v>PASS</v>
      </c>
    </row>
    <row r="375" customFormat="false" ht="15" hidden="false" customHeight="false" outlineLevel="0" collapsed="false">
      <c r="B375" s="28" t="n">
        <v>366</v>
      </c>
      <c r="C375" s="9" t="s">
        <v>772</v>
      </c>
      <c r="D375" s="9" t="s">
        <v>813</v>
      </c>
      <c r="E375" s="18" t="n">
        <v>1.78</v>
      </c>
      <c r="F375" s="46" t="n">
        <f aca="false">Derived!$D$46</f>
        <v>1.77682</v>
      </c>
      <c r="G375" s="44" t="n">
        <f aca="false">IFERROR(IF(ISNUMBER(F375),F375-E375,"n/a"),"n/a")</f>
        <v>-0.00318000000000018</v>
      </c>
      <c r="H375" s="54" t="n">
        <v>0.005000001</v>
      </c>
      <c r="I375" s="52" t="str">
        <f aca="false">IFERROR(IF(ISNUMBER(F375),IF(ABS(F375-E375)&lt;=H375,"PASS","FAIL"),"FAIL"),"FAIL")</f>
        <v>PASS</v>
      </c>
    </row>
    <row r="376" customFormat="false" ht="15" hidden="false" customHeight="false" outlineLevel="0" collapsed="false">
      <c r="B376" s="28" t="n">
        <v>367</v>
      </c>
      <c r="C376" s="9" t="s">
        <v>772</v>
      </c>
      <c r="D376" s="9" t="s">
        <v>814</v>
      </c>
      <c r="E376" s="18" t="n">
        <v>3.36</v>
      </c>
      <c r="F376" s="46" t="n">
        <f aca="false">Derived!$D$47</f>
        <v>3.36</v>
      </c>
      <c r="G376" s="44" t="n">
        <f aca="false">IFERROR(IF(ISNUMBER(F376),F376-E376,"n/a"),"n/a")</f>
        <v>0</v>
      </c>
      <c r="H376" s="54" t="n">
        <v>0.005000001</v>
      </c>
      <c r="I376" s="52" t="str">
        <f aca="false">IFERROR(IF(ISNUMBER(F376),IF(ABS(F376-E376)&lt;=H376,"PASS","FAIL"),"FAIL"),"FAIL")</f>
        <v>PASS</v>
      </c>
    </row>
    <row r="377" customFormat="false" ht="15" hidden="false" customHeight="false" outlineLevel="0" collapsed="false">
      <c r="B377" s="28" t="n">
        <v>368</v>
      </c>
      <c r="C377" s="9" t="s">
        <v>772</v>
      </c>
      <c r="D377" s="9" t="s">
        <v>815</v>
      </c>
      <c r="E377" s="38" t="n">
        <v>29.6</v>
      </c>
      <c r="F377" s="50" t="n">
        <f aca="false">Derived!$D$48</f>
        <v>29.6</v>
      </c>
      <c r="G377" s="44" t="n">
        <f aca="false">IFERROR(IF(ISNUMBER(F377),F377-E377,"n/a"),"n/a")</f>
        <v>0</v>
      </c>
      <c r="H377" s="54" t="n">
        <v>0.050000001</v>
      </c>
      <c r="I377" s="52" t="str">
        <f aca="false">IFERROR(IF(ISNUMBER(F377),IF(ABS(F377-E377)&lt;=H377,"PASS","FAIL"),"FAIL"),"FAIL")</f>
        <v>PASS</v>
      </c>
    </row>
    <row r="378" customFormat="false" ht="15" hidden="false" customHeight="false" outlineLevel="0" collapsed="false">
      <c r="B378" s="28" t="n">
        <v>369</v>
      </c>
      <c r="C378" s="9" t="s">
        <v>772</v>
      </c>
      <c r="D378" s="9" t="s">
        <v>816</v>
      </c>
      <c r="E378" s="55" t="n">
        <v>3439</v>
      </c>
      <c r="F378" s="43" t="n">
        <f aca="false">Derived!$D$49</f>
        <v>3439</v>
      </c>
      <c r="G378" s="44" t="n">
        <f aca="false">IFERROR(IF(ISNUMBER(F378),F378-E378,"n/a"),"n/a")</f>
        <v>0</v>
      </c>
      <c r="H378" s="54" t="n">
        <v>0.500000001</v>
      </c>
      <c r="I378" s="52" t="str">
        <f aca="false">IFERROR(IF(ISNUMBER(F378),IF(ABS(F378-E378)&lt;=H378,"PASS","FAIL"),"FAIL"),"FAIL")</f>
        <v>PASS</v>
      </c>
    </row>
    <row r="379" customFormat="false" ht="15" hidden="false" customHeight="false" outlineLevel="0" collapsed="false">
      <c r="B379" s="28" t="n">
        <v>370</v>
      </c>
      <c r="C379" s="9" t="s">
        <v>772</v>
      </c>
      <c r="D379" s="9" t="s">
        <v>817</v>
      </c>
      <c r="E379" s="55" t="n">
        <v>22018</v>
      </c>
      <c r="F379" s="43" t="n">
        <f aca="false">Derived!$D$50</f>
        <v>22018</v>
      </c>
      <c r="G379" s="44" t="n">
        <f aca="false">IFERROR(IF(ISNUMBER(F379),F379-E379,"n/a"),"n/a")</f>
        <v>0</v>
      </c>
      <c r="H379" s="54" t="n">
        <v>0.500000001</v>
      </c>
      <c r="I379" s="52" t="str">
        <f aca="false">IFERROR(IF(ISNUMBER(F379),IF(ABS(F379-E379)&lt;=H379,"PASS","FAIL"),"FAIL"),"FAIL")</f>
        <v>PASS</v>
      </c>
    </row>
    <row r="380" customFormat="false" ht="15" hidden="false" customHeight="false" outlineLevel="0" collapsed="false">
      <c r="B380" s="28" t="n">
        <v>371</v>
      </c>
      <c r="C380" s="9" t="s">
        <v>772</v>
      </c>
      <c r="D380" s="9" t="s">
        <v>818</v>
      </c>
      <c r="E380" s="55" t="n">
        <v>47601</v>
      </c>
      <c r="F380" s="43" t="n">
        <f aca="false">Derived!$D$51</f>
        <v>47601</v>
      </c>
      <c r="G380" s="44" t="n">
        <f aca="false">IFERROR(IF(ISNUMBER(F380),F380-E380,"n/a"),"n/a")</f>
        <v>0</v>
      </c>
      <c r="H380" s="54" t="n">
        <v>0.500000001</v>
      </c>
      <c r="I380" s="52" t="str">
        <f aca="false">IFERROR(IF(ISNUMBER(F380),IF(ABS(F380-E380)&lt;=H380,"PASS","FAIL"),"FAIL"),"FAIL")</f>
        <v>PASS</v>
      </c>
    </row>
    <row r="381" customFormat="false" ht="15" hidden="false" customHeight="false" outlineLevel="0" collapsed="false">
      <c r="B381" s="28" t="n">
        <v>372</v>
      </c>
      <c r="C381" s="9" t="s">
        <v>772</v>
      </c>
      <c r="D381" s="9" t="s">
        <v>819</v>
      </c>
      <c r="E381" s="18" t="n">
        <v>1.66</v>
      </c>
      <c r="F381" s="46" t="n">
        <f aca="false">Derived!$D$52</f>
        <v>1.66</v>
      </c>
      <c r="G381" s="44" t="n">
        <f aca="false">IFERROR(IF(ISNUMBER(F381),F381-E381,"n/a"),"n/a")</f>
        <v>0</v>
      </c>
      <c r="H381" s="54" t="n">
        <v>0.005000001</v>
      </c>
      <c r="I381" s="52" t="str">
        <f aca="false">IFERROR(IF(ISNUMBER(F381),IF(ABS(F381-E381)&lt;=H381,"PASS","FAIL"),"FAIL"),"FAIL")</f>
        <v>PASS</v>
      </c>
    </row>
    <row r="382" customFormat="false" ht="15" hidden="false" customHeight="false" outlineLevel="0" collapsed="false">
      <c r="B382" s="28" t="n">
        <v>373</v>
      </c>
      <c r="C382" s="9" t="s">
        <v>772</v>
      </c>
      <c r="D382" s="9" t="s">
        <v>820</v>
      </c>
      <c r="E382" s="18" t="n">
        <v>0.61</v>
      </c>
      <c r="F382" s="46" t="n">
        <f aca="false">Derived!$D$53</f>
        <v>0.61</v>
      </c>
      <c r="G382" s="44" t="n">
        <f aca="false">IFERROR(IF(ISNUMBER(F382),F382-E382,"n/a"),"n/a")</f>
        <v>0</v>
      </c>
      <c r="H382" s="54" t="n">
        <v>0.005000001</v>
      </c>
      <c r="I382" s="52" t="str">
        <f aca="false">IFERROR(IF(ISNUMBER(F382),IF(ABS(F382-E382)&lt;=H382,"PASS","FAIL"),"FAIL"),"FAIL")</f>
        <v>PASS</v>
      </c>
    </row>
    <row r="383" customFormat="false" ht="15" hidden="false" customHeight="false" outlineLevel="0" collapsed="false">
      <c r="B383" s="28" t="n">
        <v>374</v>
      </c>
      <c r="C383" s="9" t="s">
        <v>772</v>
      </c>
      <c r="D383" s="9" t="s">
        <v>821</v>
      </c>
      <c r="E383" s="18" t="n">
        <v>0.08</v>
      </c>
      <c r="F383" s="46" t="n">
        <f aca="false">Derived!$D$54</f>
        <v>0.0800000000000001</v>
      </c>
      <c r="G383" s="44" t="n">
        <f aca="false">IFERROR(IF(ISNUMBER(F383),F383-E383,"n/a"),"n/a")</f>
        <v>0</v>
      </c>
      <c r="H383" s="54" t="n">
        <v>0.005000001</v>
      </c>
      <c r="I383" s="52" t="str">
        <f aca="false">IFERROR(IF(ISNUMBER(F383),IF(ABS(F383-E383)&lt;=H383,"PASS","FAIL"),"FAIL"),"FAIL")</f>
        <v>PASS</v>
      </c>
    </row>
    <row r="384" customFormat="false" ht="15" hidden="false" customHeight="false" outlineLevel="0" collapsed="false">
      <c r="B384" s="28" t="n">
        <v>375</v>
      </c>
      <c r="C384" s="9" t="s">
        <v>772</v>
      </c>
      <c r="D384" s="9" t="s">
        <v>822</v>
      </c>
      <c r="E384" s="55" t="n">
        <v>21</v>
      </c>
      <c r="F384" s="43" t="n">
        <f aca="false">Derived!$D$55</f>
        <v>21.1560928746197</v>
      </c>
      <c r="G384" s="44" t="n">
        <f aca="false">IFERROR(IF(ISNUMBER(F384),F384-E384,"n/a"),"n/a")</f>
        <v>0.156092874619738</v>
      </c>
      <c r="H384" s="54" t="n">
        <v>0.500000001</v>
      </c>
      <c r="I384" s="52" t="str">
        <f aca="false">IFERROR(IF(ISNUMBER(F384),IF(ABS(F384-E384)&lt;=H384,"PASS","FAIL"),"FAIL"),"FAIL")</f>
        <v>PASS</v>
      </c>
    </row>
    <row r="385" customFormat="false" ht="15" hidden="false" customHeight="false" outlineLevel="0" collapsed="false">
      <c r="B385" s="28" t="n">
        <v>376</v>
      </c>
      <c r="C385" s="9" t="s">
        <v>772</v>
      </c>
      <c r="D385" s="9" t="s">
        <v>823</v>
      </c>
      <c r="E385" s="18" t="n">
        <v>0.75</v>
      </c>
      <c r="F385" s="46" t="n">
        <f aca="false">Derived!$D$56</f>
        <v>0.75</v>
      </c>
      <c r="G385" s="44" t="n">
        <f aca="false">IFERROR(IF(ISNUMBER(F385),F385-E385,"n/a"),"n/a")</f>
        <v>0</v>
      </c>
      <c r="H385" s="54" t="n">
        <v>0.005000001</v>
      </c>
      <c r="I385" s="52" t="str">
        <f aca="false">IFERROR(IF(ISNUMBER(F385),IF(ABS(F385-E385)&lt;=H385,"PASS","FAIL"),"FAIL"),"FAIL")</f>
        <v>PASS</v>
      </c>
    </row>
    <row r="386" customFormat="false" ht="15" hidden="false" customHeight="false" outlineLevel="0" collapsed="false">
      <c r="B386" s="28" t="n">
        <v>377</v>
      </c>
      <c r="C386" s="9" t="s">
        <v>772</v>
      </c>
      <c r="D386" s="9" t="s">
        <v>824</v>
      </c>
      <c r="E386" s="18" t="n">
        <v>1.01</v>
      </c>
      <c r="F386" s="46" t="n">
        <f aca="false">Derived!$D$57</f>
        <v>1.0065</v>
      </c>
      <c r="G386" s="44" t="n">
        <f aca="false">IFERROR(IF(ISNUMBER(F386),F386-E386,"n/a"),"n/a")</f>
        <v>-0.00350000000000006</v>
      </c>
      <c r="H386" s="54" t="n">
        <v>0.005000001</v>
      </c>
      <c r="I386" s="52" t="str">
        <f aca="false">IFERROR(IF(ISNUMBER(F386),IF(ABS(F386-E386)&lt;=H386,"PASS","FAIL"),"FAIL"),"FAIL")</f>
        <v>PASS</v>
      </c>
    </row>
  </sheetData>
  <mergeCells count="1">
    <mergeCell ref="C7:D7"/>
  </mergeCells>
  <conditionalFormatting sqref="I10:I386">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2026-09-25T06:35:08Z</dcterms:created>
  <dc:creator>openpyxl</dc:creator>
  <dc:description/>
  <dc:language>en-US</dc:language>
  <cp:lastModifiedBy/>
  <dcterms:modified xsi:type="dcterms:W3CDTF">2026-09-25T06:35:09Z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