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Deal" sheetId="3" state="visible" r:id="rId3"/>
    <sheet xmlns:r="http://schemas.openxmlformats.org/officeDocument/2006/relationships" name="Covenants" sheetId="4" state="visible" r:id="rId4"/>
    <sheet xmlns:r="http://schemas.openxmlformats.org/officeDocument/2006/relationships" name="Cash Flow" sheetId="5" state="visible" r:id="rId5"/>
    <sheet xmlns:r="http://schemas.openxmlformats.org/officeDocument/2006/relationships" name="Collateral" sheetId="6" state="visible" r:id="rId6"/>
    <sheet xmlns:r="http://schemas.openxmlformats.org/officeDocument/2006/relationships" name="Relationship" sheetId="7" state="visible" r:id="rId7"/>
    <sheet xmlns:r="http://schemas.openxmlformats.org/officeDocument/2006/relationships" name="Chec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;[Red]-#,##0.0"/>
    <numFmt numFmtId="165" formatCode="0.000"/>
    <numFmt numFmtId="166" formatCode="0.00&quot;x&quot;"/>
    <numFmt numFmtId="167" formatCode="0.0%"/>
    <numFmt numFmtId="168" formatCode="0.0&quot;x&quot;"/>
    <numFmt numFmtId="169" formatCode="#,##0.00;[Red]-#,##0.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sz val="10"/>
    </font>
    <font>
      <name val="Arial"/>
      <color rgb="001F4FB4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2343A"/>
      </patternFill>
    </fill>
    <fill>
      <patternFill patternType="solid">
        <fgColor rgb="00EEF3FB"/>
      </patternFill>
    </fill>
    <fill>
      <patternFill patternType="solid">
        <fgColor rgb="002E5A60"/>
      </patternFill>
    </fill>
    <fill>
      <patternFill patternType="solid">
        <fgColor rgb="00F3E6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4" fillId="3" borderId="0" pivotButton="0" quotePrefix="0" xfId="0"/>
    <xf numFmtId="165" fontId="4" fillId="3" borderId="0" pivotButton="0" quotePrefix="0" xfId="0"/>
    <xf numFmtId="10" fontId="4" fillId="3" borderId="0" pivotButton="0" quotePrefix="0" xfId="0"/>
    <xf numFmtId="166" fontId="4" fillId="3" borderId="0" pivotButton="0" quotePrefix="0" xfId="0"/>
    <xf numFmtId="167" fontId="4" fillId="3" borderId="0" pivotButton="0" quotePrefix="0" xfId="0"/>
    <xf numFmtId="168" fontId="4" fillId="3" borderId="0" pivotButton="0" quotePrefix="0" xfId="0"/>
    <xf numFmtId="169" fontId="4" fillId="3" borderId="0" pivotButton="0" quotePrefix="0" xfId="0"/>
    <xf numFmtId="0" fontId="5" fillId="4" borderId="0" applyAlignment="1" pivotButton="0" quotePrefix="0" xfId="0">
      <alignment vertical="center" wrapText="1"/>
    </xf>
    <xf numFmtId="164" fontId="2" fillId="0" borderId="0" pivotButton="0" quotePrefix="0" xfId="0"/>
    <xf numFmtId="0" fontId="3" fillId="5" borderId="0" pivotButton="0" quotePrefix="0" xfId="0"/>
    <xf numFmtId="164" fontId="3" fillId="5" borderId="0" pivotButton="0" quotePrefix="0" xfId="0"/>
    <xf numFmtId="168" fontId="2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0" fontId="2" fillId="0" borderId="0" pivotButton="0" quotePrefix="0" xfId="0"/>
    <xf numFmtId="169" fontId="2" fillId="0" borderId="0" pivotButton="0" quotePrefix="0" xfId="0"/>
    <xf numFmtId="169" fontId="3" fillId="5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10" customHeight="1"/>
    <row r="2">
      <c r="B2" s="1" t="inlineStr">
        <is>
          <t>The Commercial Banker: companion workbook</t>
        </is>
      </c>
    </row>
    <row r="4">
      <c r="B4" s="2" t="inlineStr">
        <is>
          <t>This workbook rebuilds the Kessworth case of The Commercial Banker (Julian R. Sterling, 2026) with live formulas.</t>
        </is>
      </c>
    </row>
    <row r="5">
      <c r="B5" s="2" t="inlineStr">
        <is>
          <t>Blue cells on a light blue background are inputs. Everything else is a formula. Amounts in US$ million unless stated.</t>
        </is>
      </c>
    </row>
    <row r="6">
      <c r="B6" s="2" t="inlineStr">
        <is>
          <t>Inputs: every assumption of the case (the acquisition, the facilities and pricing, covenants, operating figures, quarter-end balances, the amendment, ratings, collateral, relationship economics).</t>
        </is>
      </c>
    </row>
    <row r="7">
      <c r="B7" s="2" t="inlineStr">
        <is>
          <t>Deal (Chapters 6 and 7): sources and uses, leverage at close, covenant cushion, borrowing base, all-in rate and fees.</t>
        </is>
      </c>
    </row>
    <row r="8">
      <c r="B8" s="2" t="inlineStr">
        <is>
          <t>Cash Flow (Chapters 5 and 13): operating figures FY2023 to FY2028, cash available for fixed charges, interest, fixed charge coverage by year, management and downside cases.</t>
        </is>
      </c>
    </row>
    <row r="9">
      <c r="B9" s="2" t="inlineStr">
        <is>
          <t>Covenants (Chapters 7, 12 and 13): the quarterly leverage test from Q2 2024 to Q4 2026, the covenant in force, cushion and breach flags.</t>
        </is>
      </c>
    </row>
    <row r="10">
      <c r="B10" s="2" t="inlineStr">
        <is>
          <t>Collateral (Chapters 8 and 14): liquidation values at 31 December 2025 against the senior exposure, and the going-concern view.</t>
        </is>
      </c>
    </row>
    <row r="11">
      <c r="B11" s="2" t="inlineStr">
        <is>
          <t>Relationship (Chapters 2 and 13): pre-tax return on allocated capital at origination and in 2026.</t>
        </is>
      </c>
    </row>
    <row r="12">
      <c r="B12" s="2" t="inlineStr">
        <is>
          <t>Checks: the figures printed in the book beside the formulas that produce them. ALL CHECKS OK on the default inputs.</t>
        </is>
      </c>
    </row>
    <row r="13">
      <c r="B13" s="2" t="inlineStr">
        <is>
          <t>Everything in the case is fictional and illustrative; the model is simplified (annual fiscal figures, quarter-end balances, a flat assumed Term SOFR). Nothing here is lending, investment, legal, tax or accounting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9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46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10" customHeight="1"/>
    <row r="2">
      <c r="B2" s="1" t="inlineStr">
        <is>
          <t>Inputs (blue cells)</t>
        </is>
      </c>
      <c r="C2" s="3" t="n"/>
      <c r="D2" s="3" t="n"/>
    </row>
    <row r="5">
      <c r="B5" s="4" t="inlineStr">
        <is>
          <t>The acquisition (close 30 June 2024)</t>
        </is>
      </c>
    </row>
    <row r="6">
      <c r="B6" s="2" t="inlineStr">
        <is>
          <t>Kessworth FY2023 standalone EBITDA</t>
        </is>
      </c>
      <c r="C6" s="5" t="n">
        <v>14.4</v>
      </c>
      <c r="D6" s="2" t="inlineStr"/>
    </row>
    <row r="7">
      <c r="B7" s="2" t="inlineStr">
        <is>
          <t>Target FY2023 EBITDA</t>
        </is>
      </c>
      <c r="C7" s="5" t="n">
        <v>4</v>
      </c>
      <c r="D7" s="2" t="inlineStr"/>
    </row>
    <row r="8">
      <c r="B8" s="2" t="inlineStr">
        <is>
          <t>Purchase price</t>
        </is>
      </c>
      <c r="C8" s="5" t="n">
        <v>26</v>
      </c>
      <c r="D8" s="2" t="inlineStr"/>
    </row>
    <row r="9">
      <c r="B9" s="2" t="inlineStr">
        <is>
          <t>Incumbent bank debt refinanced</t>
        </is>
      </c>
      <c r="C9" s="5" t="n">
        <v>14</v>
      </c>
      <c r="D9" s="2" t="inlineStr"/>
    </row>
    <row r="10">
      <c r="B10" s="2" t="inlineStr">
        <is>
          <t>Transaction costs</t>
        </is>
      </c>
      <c r="C10" s="5" t="n">
        <v>1</v>
      </c>
      <c r="D10" s="2" t="inlineStr"/>
    </row>
    <row r="11">
      <c r="B11" s="2" t="inlineStr">
        <is>
          <t>Term loan at close</t>
        </is>
      </c>
      <c r="C11" s="5" t="n">
        <v>35</v>
      </c>
      <c r="D11" s="2" t="inlineStr"/>
    </row>
    <row r="12">
      <c r="B12" s="2" t="inlineStr">
        <is>
          <t>Revolver draw at close</t>
        </is>
      </c>
      <c r="C12" s="5" t="n">
        <v>6</v>
      </c>
      <c r="D12" s="2" t="inlineStr"/>
    </row>
    <row r="13">
      <c r="B13" s="2" t="inlineStr">
        <is>
          <t>Revolver commitment</t>
        </is>
      </c>
      <c r="C13" s="5" t="n">
        <v>15</v>
      </c>
      <c r="D13" s="2" t="inlineStr"/>
    </row>
    <row r="14">
      <c r="B14" s="2" t="inlineStr">
        <is>
          <t>Term loan amortization per quarter</t>
        </is>
      </c>
      <c r="C14" s="6" t="n">
        <v>0.875</v>
      </c>
      <c r="D14" s="2" t="inlineStr">
        <is>
          <t>10 percent of the term loan a year</t>
        </is>
      </c>
    </row>
    <row r="16">
      <c r="B16" s="4" t="inlineStr">
        <is>
          <t>Pricing</t>
        </is>
      </c>
    </row>
    <row r="17">
      <c r="B17" s="2" t="inlineStr">
        <is>
          <t>Term SOFR (assumed flat, a case simplification)</t>
        </is>
      </c>
      <c r="C17" s="7" t="n">
        <v>0.04</v>
      </c>
      <c r="D17" s="2" t="inlineStr"/>
    </row>
    <row r="18">
      <c r="B18" s="2" t="inlineStr">
        <is>
          <t>Grid threshold 1 (leverage)</t>
        </is>
      </c>
      <c r="C18" s="8" t="n">
        <v>2</v>
      </c>
      <c r="D18" s="2" t="inlineStr"/>
    </row>
    <row r="19">
      <c r="B19" s="2" t="inlineStr">
        <is>
          <t>Margin below threshold 1</t>
        </is>
      </c>
      <c r="C19" s="7" t="n">
        <v>0.0225</v>
      </c>
      <c r="D19" s="2" t="inlineStr"/>
    </row>
    <row r="20">
      <c r="B20" s="2" t="inlineStr">
        <is>
          <t>Grid threshold 2 (leverage)</t>
        </is>
      </c>
      <c r="C20" s="8" t="n">
        <v>2.5</v>
      </c>
      <c r="D20" s="2" t="inlineStr"/>
    </row>
    <row r="21">
      <c r="B21" s="2" t="inlineStr">
        <is>
          <t>Margin from threshold 1 to threshold 2</t>
        </is>
      </c>
      <c r="C21" s="7" t="n">
        <v>0.025</v>
      </c>
      <c r="D21" s="2" t="inlineStr"/>
    </row>
    <row r="22">
      <c r="B22" s="2" t="inlineStr">
        <is>
          <t>Margin at threshold 2 and above</t>
        </is>
      </c>
      <c r="C22" s="7" t="n">
        <v>0.0275</v>
      </c>
      <c r="D22" s="2" t="inlineStr"/>
    </row>
    <row r="23">
      <c r="B23" s="2" t="inlineStr">
        <is>
          <t>Upfront fee on commitments</t>
        </is>
      </c>
      <c r="C23" s="7" t="n">
        <v>0.005</v>
      </c>
      <c r="D23" s="2" t="inlineStr"/>
    </row>
    <row r="24">
      <c r="B24" s="2" t="inlineStr">
        <is>
          <t>Unused fee on the undrawn revolver</t>
        </is>
      </c>
      <c r="C24" s="7" t="n">
        <v>0.0025</v>
      </c>
      <c r="D24" s="2" t="inlineStr"/>
    </row>
    <row r="26">
      <c r="B26" s="4" t="inlineStr">
        <is>
          <t>Covenants and borrowing base</t>
        </is>
      </c>
    </row>
    <row r="27">
      <c r="B27" s="2" t="inlineStr">
        <is>
          <t>Maximum senior funded debt / TTM EBITDA (original)</t>
        </is>
      </c>
      <c r="C27" s="8" t="n">
        <v>3</v>
      </c>
      <c r="D27" s="2" t="inlineStr"/>
    </row>
    <row r="28">
      <c r="B28" s="2" t="inlineStr">
        <is>
          <t>Minimum fixed charge coverage (original)</t>
        </is>
      </c>
      <c r="C28" s="8" t="n">
        <v>1.25</v>
      </c>
      <c r="D28" s="2" t="inlineStr"/>
    </row>
    <row r="29">
      <c r="B29" s="2" t="inlineStr">
        <is>
          <t>Eligible receivables at close</t>
        </is>
      </c>
      <c r="C29" s="5" t="n">
        <v>15</v>
      </c>
      <c r="D29" s="2" t="inlineStr"/>
    </row>
    <row r="30">
      <c r="B30" s="2" t="inlineStr">
        <is>
          <t>Eligible inventory at close</t>
        </is>
      </c>
      <c r="C30" s="5" t="n">
        <v>13</v>
      </c>
      <c r="D30" s="2" t="inlineStr"/>
    </row>
    <row r="31">
      <c r="B31" s="2" t="inlineStr">
        <is>
          <t>Advance rate on receivables</t>
        </is>
      </c>
      <c r="C31" s="9" t="n">
        <v>0.85</v>
      </c>
      <c r="D31" s="2" t="inlineStr"/>
    </row>
    <row r="32">
      <c r="B32" s="2" t="inlineStr">
        <is>
          <t>Advance rate on inventory</t>
        </is>
      </c>
      <c r="C32" s="9" t="n">
        <v>0.5</v>
      </c>
      <c r="D32" s="2" t="inlineStr"/>
    </row>
    <row r="34">
      <c r="B34" s="4" t="inlineStr">
        <is>
          <t>The amendment (March 2026)</t>
        </is>
      </c>
    </row>
    <row r="35">
      <c r="B35" s="2" t="inlineStr">
        <is>
          <t>Amendment fee on original commitments</t>
        </is>
      </c>
      <c r="C35" s="7" t="n">
        <v>0.0025</v>
      </c>
      <c r="D35" s="2" t="inlineStr"/>
    </row>
    <row r="36">
      <c r="B36" s="2" t="inlineStr">
        <is>
          <t>Amended margin (flat)</t>
        </is>
      </c>
      <c r="C36" s="7" t="n">
        <v>0.035</v>
      </c>
      <c r="D36" s="2" t="inlineStr"/>
    </row>
    <row r="37">
      <c r="B37" s="2" t="inlineStr">
        <is>
          <t>FY2026 minimum fixed charge coverage</t>
        </is>
      </c>
      <c r="C37" s="8" t="n">
        <v>1.05</v>
      </c>
      <c r="D37" s="2" t="inlineStr"/>
    </row>
    <row r="38">
      <c r="B38" s="2" t="inlineStr">
        <is>
          <t>Revolver commitment after the amendment</t>
        </is>
      </c>
      <c r="C38" s="5" t="n">
        <v>12</v>
      </c>
      <c r="D38" s="2" t="inlineStr"/>
    </row>
    <row r="39">
      <c r="B39" s="2" t="inlineStr">
        <is>
          <t>Owners' subordinated note, Q2 2026, prepays the term loan</t>
        </is>
      </c>
      <c r="C39" s="5" t="n">
        <v>3</v>
      </c>
      <c r="D39" s="2" t="inlineStr"/>
    </row>
    <row r="41">
      <c r="B41" s="4" t="inlineStr">
        <is>
          <t>Risk and collateral</t>
        </is>
      </c>
    </row>
    <row r="42">
      <c r="B42" s="2" t="inlineStr">
        <is>
          <t>Probability of default, grade 4</t>
        </is>
      </c>
      <c r="C42" s="7" t="n">
        <v>0.0075</v>
      </c>
      <c r="D42" s="2" t="inlineStr"/>
    </row>
    <row r="43">
      <c r="B43" s="2" t="inlineStr">
        <is>
          <t>Probability of default, grade 8</t>
        </is>
      </c>
      <c r="C43" s="7" t="n">
        <v>0.2</v>
      </c>
      <c r="D43" s="2" t="inlineStr"/>
    </row>
    <row r="44">
      <c r="B44" s="2" t="inlineStr">
        <is>
          <t>Loss given default</t>
        </is>
      </c>
      <c r="C44" s="9" t="n">
        <v>0.3</v>
      </c>
      <c r="D44" s="2" t="inlineStr"/>
    </row>
    <row r="45">
      <c r="B45" s="2" t="inlineStr">
        <is>
          <t>Accounts receivable: value</t>
        </is>
      </c>
      <c r="C45" s="5" t="n">
        <v>12</v>
      </c>
      <c r="D45" s="2" t="inlineStr"/>
    </row>
    <row r="46">
      <c r="B46" s="2" t="inlineStr">
        <is>
          <t>Accounts receivable: liquidation rate</t>
        </is>
      </c>
      <c r="C46" s="9" t="n">
        <v>0.8</v>
      </c>
      <c r="D46" s="2" t="inlineStr"/>
    </row>
    <row r="47">
      <c r="B47" s="2" t="inlineStr">
        <is>
          <t>Inventory: value</t>
        </is>
      </c>
      <c r="C47" s="5" t="n">
        <v>11</v>
      </c>
      <c r="D47" s="2" t="inlineStr"/>
    </row>
    <row r="48">
      <c r="B48" s="2" t="inlineStr">
        <is>
          <t>Inventory: liquidation rate</t>
        </is>
      </c>
      <c r="C48" s="9" t="n">
        <v>0.45</v>
      </c>
      <c r="D48" s="2" t="inlineStr"/>
    </row>
    <row r="49">
      <c r="B49" s="2" t="inlineStr">
        <is>
          <t>Machinery and equipment (net book value): value</t>
        </is>
      </c>
      <c r="C49" s="5" t="n">
        <v>8</v>
      </c>
      <c r="D49" s="2" t="inlineStr"/>
    </row>
    <row r="50">
      <c r="B50" s="2" t="inlineStr">
        <is>
          <t>Machinery and equipment (net book value): liquidation rate</t>
        </is>
      </c>
      <c r="C50" s="9" t="n">
        <v>0.5</v>
      </c>
      <c r="D50" s="2" t="inlineStr"/>
    </row>
    <row r="51">
      <c r="B51" s="2" t="inlineStr">
        <is>
          <t>Plant real estate (appraised): value</t>
        </is>
      </c>
      <c r="C51" s="5" t="n">
        <v>9</v>
      </c>
      <c r="D51" s="2" t="inlineStr"/>
    </row>
    <row r="52">
      <c r="B52" s="2" t="inlineStr">
        <is>
          <t>Plant real estate (appraised): liquidation rate</t>
        </is>
      </c>
      <c r="C52" s="9" t="n">
        <v>0.75</v>
      </c>
      <c r="D52" s="2" t="inlineStr"/>
    </row>
    <row r="53">
      <c r="B53" s="2" t="inlineStr">
        <is>
          <t>Going-concern EBITDA multiple (workout memo)</t>
        </is>
      </c>
      <c r="C53" s="10" t="n">
        <v>6</v>
      </c>
      <c r="D53" s="2" t="inlineStr"/>
    </row>
    <row r="55">
      <c r="B55" s="4" t="inlineStr">
        <is>
          <t>Relationship economics</t>
        </is>
      </c>
    </row>
    <row r="56">
      <c r="B56" s="2" t="inlineStr">
        <is>
          <t>Funds transfer pricing spread over SOFR</t>
        </is>
      </c>
      <c r="C56" s="7" t="n">
        <v>0.003</v>
      </c>
      <c r="D56" s="2" t="inlineStr"/>
    </row>
    <row r="57">
      <c r="B57" s="2" t="inlineStr">
        <is>
          <t>Average operating deposits, year 1</t>
        </is>
      </c>
      <c r="C57" s="5" t="n">
        <v>7</v>
      </c>
      <c r="D57" s="2" t="inlineStr"/>
    </row>
    <row r="58">
      <c r="B58" s="2" t="inlineStr">
        <is>
          <t>Average operating deposits, 2026</t>
        </is>
      </c>
      <c r="C58" s="5" t="n">
        <v>5</v>
      </c>
      <c r="D58" s="2" t="inlineStr"/>
    </row>
    <row r="59">
      <c r="B59" s="2" t="inlineStr">
        <is>
          <t>Credit given to deposits</t>
        </is>
      </c>
      <c r="C59" s="7" t="n">
        <v>0.02</v>
      </c>
      <c r="D59" s="2" t="inlineStr"/>
    </row>
    <row r="60">
      <c r="B60" s="2" t="inlineStr">
        <is>
          <t>Treasury management fees a year</t>
        </is>
      </c>
      <c r="C60" s="11" t="n">
        <v>0.15</v>
      </c>
      <c r="D60" s="2" t="inlineStr"/>
    </row>
    <row r="61">
      <c r="B61" s="2" t="inlineStr">
        <is>
          <t>One-time swap fee (spread over five years)</t>
        </is>
      </c>
      <c r="C61" s="11" t="n">
        <v>0.1</v>
      </c>
      <c r="D61" s="2" t="inlineStr"/>
    </row>
    <row r="62">
      <c r="B62" s="2" t="inlineStr">
        <is>
          <t>Servicing costs a year</t>
        </is>
      </c>
      <c r="C62" s="11" t="n">
        <v>0.3</v>
      </c>
      <c r="D62" s="2" t="inlineStr"/>
    </row>
    <row r="63">
      <c r="B63" s="2" t="inlineStr">
        <is>
          <t>Extra workout costs a year (2026)</t>
        </is>
      </c>
      <c r="C63" s="11" t="n">
        <v>0.25</v>
      </c>
      <c r="D63" s="2" t="inlineStr"/>
    </row>
    <row r="64">
      <c r="B64" s="2" t="inlineStr">
        <is>
          <t>Capital per $ drawn</t>
        </is>
      </c>
      <c r="C64" s="9" t="n">
        <v>0.1</v>
      </c>
      <c r="D64" s="2" t="inlineStr"/>
    </row>
    <row r="65">
      <c r="B65" s="2" t="inlineStr">
        <is>
          <t>Capital per $ unused</t>
        </is>
      </c>
      <c r="C65" s="9" t="n">
        <v>0.05</v>
      </c>
      <c r="D65" s="2" t="inlineStr"/>
    </row>
    <row r="66">
      <c r="B66" s="2" t="inlineStr">
        <is>
          <t>Pre-tax hurdle</t>
        </is>
      </c>
      <c r="C66" s="9" t="n">
        <v>0.15</v>
      </c>
      <c r="D66" s="2" t="inlineStr"/>
    </row>
    <row r="68">
      <c r="B68" s="4" t="inlineStr">
        <is>
          <t>Operating figures by fiscal year ($ million)</t>
        </is>
      </c>
    </row>
    <row r="69">
      <c r="B69" s="12" t="inlineStr">
        <is>
          <t>Line</t>
        </is>
      </c>
      <c r="C69" s="12" t="inlineStr">
        <is>
          <t>FY2023</t>
        </is>
      </c>
      <c r="D69" s="12" t="inlineStr">
        <is>
          <t>FY2024</t>
        </is>
      </c>
      <c r="E69" s="12" t="inlineStr">
        <is>
          <t>FY2025</t>
        </is>
      </c>
      <c r="F69" s="12" t="inlineStr">
        <is>
          <t>FY2026</t>
        </is>
      </c>
      <c r="G69" s="12" t="inlineStr">
        <is>
          <t>FY2027</t>
        </is>
      </c>
      <c r="H69" s="12" t="inlineStr">
        <is>
          <t>FY2028</t>
        </is>
      </c>
    </row>
    <row r="70">
      <c r="B70" s="2" t="inlineStr">
        <is>
          <t>Revenue</t>
        </is>
      </c>
      <c r="C70" s="5" t="n">
        <v>120</v>
      </c>
      <c r="D70" s="5" t="n">
        <v>124</v>
      </c>
      <c r="E70" s="5" t="n">
        <v>108</v>
      </c>
      <c r="F70" s="5" t="n">
        <v>104</v>
      </c>
      <c r="G70" s="5" t="n">
        <v>114</v>
      </c>
      <c r="H70" s="5" t="n">
        <v>120</v>
      </c>
    </row>
    <row r="71">
      <c r="B71" s="2" t="inlineStr">
        <is>
          <t>EBITDA</t>
        </is>
      </c>
      <c r="C71" s="5" t="n">
        <v>18.4</v>
      </c>
      <c r="D71" s="5" t="n">
        <v>19.2</v>
      </c>
      <c r="E71" s="5" t="n">
        <v>12.4</v>
      </c>
      <c r="F71" s="5" t="n">
        <v>13.4</v>
      </c>
      <c r="G71" s="5" t="n">
        <v>16.5</v>
      </c>
      <c r="H71" s="5" t="n">
        <v>18</v>
      </c>
    </row>
    <row r="72">
      <c r="B72" s="2" t="inlineStr">
        <is>
          <t>Unfinanced capex</t>
        </is>
      </c>
      <c r="C72" s="5" t="n">
        <v>2.6</v>
      </c>
      <c r="D72" s="5" t="n">
        <v>2.8</v>
      </c>
      <c r="E72" s="5" t="n">
        <v>2.8</v>
      </c>
      <c r="F72" s="5" t="n">
        <v>1.8</v>
      </c>
      <c r="G72" s="5" t="n">
        <v>2.4</v>
      </c>
      <c r="H72" s="5" t="n">
        <v>2.6</v>
      </c>
    </row>
    <row r="73">
      <c r="B73" s="2" t="inlineStr">
        <is>
          <t>Cash taxes</t>
        </is>
      </c>
      <c r="C73" s="5" t="n">
        <v>2.2</v>
      </c>
      <c r="D73" s="5" t="n">
        <v>2.3</v>
      </c>
      <c r="E73" s="5" t="n">
        <v>1.4</v>
      </c>
      <c r="F73" s="5" t="n">
        <v>1.2</v>
      </c>
      <c r="G73" s="5" t="n">
        <v>1.8</v>
      </c>
      <c r="H73" s="5" t="n">
        <v>2.1</v>
      </c>
    </row>
    <row r="74">
      <c r="B74" s="2" t="inlineStr">
        <is>
          <t>Owner distributions</t>
        </is>
      </c>
      <c r="C74" s="5" t="n">
        <v>1.5</v>
      </c>
      <c r="D74" s="5" t="n">
        <v>1.5</v>
      </c>
      <c r="E74" s="5" t="n">
        <v>1</v>
      </c>
      <c r="F74" s="5" t="n">
        <v>0</v>
      </c>
      <c r="G74" s="5" t="n">
        <v>0</v>
      </c>
      <c r="H74" s="5" t="n">
        <v>1</v>
      </c>
    </row>
    <row r="76">
      <c r="B76" s="4" t="inlineStr">
        <is>
          <t>Bank cases at origination: EBITDA ($ million)</t>
        </is>
      </c>
    </row>
    <row r="77">
      <c r="B77" s="12" t="inlineStr">
        <is>
          <t>Case</t>
        </is>
      </c>
      <c r="C77" s="12" t="inlineStr">
        <is>
          <t>FY2024</t>
        </is>
      </c>
      <c r="D77" s="12" t="inlineStr">
        <is>
          <t>FY2025</t>
        </is>
      </c>
      <c r="E77" s="12" t="inlineStr">
        <is>
          <t>FY2026</t>
        </is>
      </c>
      <c r="F77" s="12" t="inlineStr">
        <is>
          <t>FY2027</t>
        </is>
      </c>
    </row>
    <row r="78">
      <c r="B78" s="2" t="inlineStr">
        <is>
          <t>Management case</t>
        </is>
      </c>
      <c r="C78" s="5" t="n">
        <v>19</v>
      </c>
      <c r="D78" s="5" t="n">
        <v>20</v>
      </c>
      <c r="E78" s="5" t="n">
        <v>21</v>
      </c>
      <c r="F78" s="5" t="n">
        <v>22</v>
      </c>
    </row>
    <row r="79">
      <c r="B79" s="2" t="inlineStr">
        <is>
          <t>Bank downside case</t>
        </is>
      </c>
      <c r="C79" s="5" t="n">
        <v>17.5</v>
      </c>
      <c r="D79" s="5" t="n">
        <v>14.6</v>
      </c>
      <c r="E79" s="5" t="n">
        <v>15.2</v>
      </c>
      <c r="F79" s="5" t="n">
        <v>16</v>
      </c>
    </row>
    <row r="81">
      <c r="B81" s="4" t="inlineStr">
        <is>
          <t>Quarter-end inputs</t>
        </is>
      </c>
    </row>
    <row r="82">
      <c r="B82" s="12" t="inlineStr">
        <is>
          <t>Quarter</t>
        </is>
      </c>
      <c r="C82" s="12" t="inlineStr">
        <is>
          <t>TTM EBITDA</t>
        </is>
      </c>
      <c r="D82" s="12" t="inlineStr">
        <is>
          <t>Revolver balance</t>
        </is>
      </c>
      <c r="E82" s="12" t="inlineStr">
        <is>
          <t>Leverage covenant in force</t>
        </is>
      </c>
    </row>
    <row r="83">
      <c r="B83" s="2" t="inlineStr">
        <is>
          <t>Q2 2024</t>
        </is>
      </c>
      <c r="C83" s="5" t="n">
        <v>18.4</v>
      </c>
      <c r="D83" s="5" t="n">
        <v>6</v>
      </c>
      <c r="E83" s="8" t="n">
        <v>3</v>
      </c>
    </row>
    <row r="84">
      <c r="B84" s="2" t="inlineStr">
        <is>
          <t>Q3 2024</t>
        </is>
      </c>
      <c r="C84" s="5" t="n">
        <v>18.8</v>
      </c>
      <c r="D84" s="5" t="n">
        <v>5</v>
      </c>
      <c r="E84" s="8" t="n">
        <v>3</v>
      </c>
    </row>
    <row r="85">
      <c r="B85" s="2" t="inlineStr">
        <is>
          <t>Q4 2024</t>
        </is>
      </c>
      <c r="C85" s="5" t="n">
        <v>19.2</v>
      </c>
      <c r="D85" s="5" t="n">
        <v>4</v>
      </c>
      <c r="E85" s="8" t="n">
        <v>3</v>
      </c>
    </row>
    <row r="86">
      <c r="B86" s="2" t="inlineStr">
        <is>
          <t>Q1 2025</t>
        </is>
      </c>
      <c r="C86" s="5" t="n">
        <v>18.9</v>
      </c>
      <c r="D86" s="5" t="n">
        <v>5</v>
      </c>
      <c r="E86" s="8" t="n">
        <v>3</v>
      </c>
    </row>
    <row r="87">
      <c r="B87" s="2" t="inlineStr">
        <is>
          <t>Q2 2025</t>
        </is>
      </c>
      <c r="C87" s="5" t="n">
        <v>17.6</v>
      </c>
      <c r="D87" s="5" t="n">
        <v>6.5</v>
      </c>
      <c r="E87" s="8" t="n">
        <v>3</v>
      </c>
    </row>
    <row r="88">
      <c r="B88" s="2" t="inlineStr">
        <is>
          <t>Q3 2025</t>
        </is>
      </c>
      <c r="C88" s="5" t="n">
        <v>15.1</v>
      </c>
      <c r="D88" s="5" t="n">
        <v>8</v>
      </c>
      <c r="E88" s="8" t="n">
        <v>3</v>
      </c>
    </row>
    <row r="89">
      <c r="B89" s="2" t="inlineStr">
        <is>
          <t>Q4 2025</t>
        </is>
      </c>
      <c r="C89" s="5" t="n">
        <v>12.4</v>
      </c>
      <c r="D89" s="5" t="n">
        <v>9.5</v>
      </c>
      <c r="E89" s="8" t="n">
        <v>3</v>
      </c>
    </row>
    <row r="90">
      <c r="B90" s="2" t="inlineStr">
        <is>
          <t>Q1 2026</t>
        </is>
      </c>
      <c r="C90" s="5" t="n">
        <v>11.9</v>
      </c>
      <c r="D90" s="5" t="n">
        <v>9</v>
      </c>
      <c r="E90" s="8" t="n">
        <v>3.75</v>
      </c>
    </row>
    <row r="91">
      <c r="B91" s="2" t="inlineStr">
        <is>
          <t>Q2 2026</t>
        </is>
      </c>
      <c r="C91" s="5" t="n">
        <v>11.8</v>
      </c>
      <c r="D91" s="5" t="n">
        <v>8.5</v>
      </c>
      <c r="E91" s="8" t="n">
        <v>3.75</v>
      </c>
    </row>
    <row r="92">
      <c r="B92" s="2" t="inlineStr">
        <is>
          <t>Q3 2026</t>
        </is>
      </c>
      <c r="C92" s="5" t="n">
        <v>12.4</v>
      </c>
      <c r="D92" s="5" t="n">
        <v>8</v>
      </c>
      <c r="E92" s="8" t="n">
        <v>3.75</v>
      </c>
    </row>
    <row r="93">
      <c r="B93" s="2" t="inlineStr">
        <is>
          <t>Q4 2026</t>
        </is>
      </c>
      <c r="C93" s="5" t="n">
        <v>13.4</v>
      </c>
      <c r="D93" s="5" t="n">
        <v>7</v>
      </c>
      <c r="E93" s="8" t="n">
        <v>3.25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</cols>
  <sheetData>
    <row r="1" ht="10" customHeight="1"/>
    <row r="2">
      <c r="B2" s="1" t="inlineStr">
        <is>
          <t>Deal: sources and uses, structure, pricing</t>
        </is>
      </c>
      <c r="C2" s="3" t="n"/>
    </row>
    <row r="4">
      <c r="B4" s="2" t="inlineStr">
        <is>
          <t>Purchase price</t>
        </is>
      </c>
      <c r="C4" s="13">
        <f>Inputs!$C$8</f>
        <v/>
      </c>
    </row>
    <row r="5">
      <c r="B5" s="2" t="inlineStr">
        <is>
          <t>Refinancing</t>
        </is>
      </c>
      <c r="C5" s="13">
        <f>Inputs!$C$9</f>
        <v/>
      </c>
    </row>
    <row r="6">
      <c r="B6" s="2" t="inlineStr">
        <is>
          <t>Transaction costs</t>
        </is>
      </c>
      <c r="C6" s="13">
        <f>Inputs!$C$10</f>
        <v/>
      </c>
    </row>
    <row r="7">
      <c r="B7" s="14" t="inlineStr">
        <is>
          <t>Total uses</t>
        </is>
      </c>
      <c r="C7" s="15">
        <f>C4+C5+C6</f>
        <v/>
      </c>
    </row>
    <row r="8">
      <c r="B8" s="2" t="inlineStr">
        <is>
          <t>Term loan</t>
        </is>
      </c>
      <c r="C8" s="13">
        <f>Inputs!$C$11</f>
        <v/>
      </c>
    </row>
    <row r="9">
      <c r="B9" s="2" t="inlineStr">
        <is>
          <t>Revolver draw</t>
        </is>
      </c>
      <c r="C9" s="13">
        <f>Inputs!$C$12</f>
        <v/>
      </c>
    </row>
    <row r="10">
      <c r="B10" s="14" t="inlineStr">
        <is>
          <t>Total sources</t>
        </is>
      </c>
      <c r="C10" s="15">
        <f>C8+C9</f>
        <v/>
      </c>
    </row>
    <row r="11">
      <c r="B11" s="2" t="inlineStr">
        <is>
          <t>Sources minus uses (must be zero)</t>
        </is>
      </c>
      <c r="C11" s="13">
        <f>C10-C7</f>
        <v/>
      </c>
    </row>
    <row r="12">
      <c r="B12" s="2" t="inlineStr">
        <is>
          <t>Pro forma FY2023 EBITDA</t>
        </is>
      </c>
      <c r="C12" s="13">
        <f>Inputs!$C$6+Inputs!$C$7</f>
        <v/>
      </c>
    </row>
    <row r="13">
      <c r="B13" s="2" t="inlineStr">
        <is>
          <t>Purchase multiple of target EBITDA</t>
        </is>
      </c>
      <c r="C13" s="16">
        <f>Inputs!$C$8/Inputs!$C$7</f>
        <v/>
      </c>
    </row>
    <row r="14">
      <c r="B14" s="2" t="inlineStr">
        <is>
          <t>Senior funded debt at close</t>
        </is>
      </c>
      <c r="C14" s="13">
        <f>C10</f>
        <v/>
      </c>
    </row>
    <row r="15">
      <c r="B15" s="2" t="inlineStr">
        <is>
          <t>Leverage at close</t>
        </is>
      </c>
      <c r="C15" s="17">
        <f>C14/C12</f>
        <v/>
      </c>
    </row>
    <row r="16">
      <c r="B16" s="2" t="inlineStr">
        <is>
          <t>Covenant cushion (share of EBITDA that can be lost)</t>
        </is>
      </c>
      <c r="C16" s="18">
        <f>1-C15/Inputs!$C$27</f>
        <v/>
      </c>
    </row>
    <row r="17">
      <c r="B17" s="2" t="inlineStr">
        <is>
          <t>EBITDA room before a breach</t>
        </is>
      </c>
      <c r="C17" s="13">
        <f>C12-C14/Inputs!$C$27</f>
        <v/>
      </c>
    </row>
    <row r="18">
      <c r="B18" s="2" t="inlineStr">
        <is>
          <t>Margin at close (grid)</t>
        </is>
      </c>
      <c r="C18" s="19">
        <f>IF(C15&lt;Inputs!$C$18,Inputs!$C$19,IF(C15&lt;Inputs!$C$20,Inputs!$C$21,Inputs!$C$22))</f>
        <v/>
      </c>
    </row>
    <row r="19">
      <c r="B19" s="2" t="inlineStr">
        <is>
          <t>All-in rate at close</t>
        </is>
      </c>
      <c r="C19" s="19">
        <f>Inputs!$C$17+C18</f>
        <v/>
      </c>
    </row>
    <row r="20">
      <c r="B20" s="2" t="inlineStr">
        <is>
          <t>Total commitments</t>
        </is>
      </c>
      <c r="C20" s="13">
        <f>Inputs!$C$11+Inputs!$C$13</f>
        <v/>
      </c>
    </row>
    <row r="21">
      <c r="B21" s="2" t="inlineStr">
        <is>
          <t>Upfront fee</t>
        </is>
      </c>
      <c r="C21" s="20">
        <f>C20*Inputs!$C$23</f>
        <v/>
      </c>
    </row>
    <row r="22">
      <c r="B22" s="2" t="inlineStr">
        <is>
          <t>Borrowing base at close</t>
        </is>
      </c>
      <c r="C22" s="20">
        <f>Inputs!$C$29*Inputs!$C$31+Inputs!$C$30*Inputs!$C$32</f>
        <v/>
      </c>
    </row>
    <row r="23">
      <c r="B23" s="2" t="inlineStr">
        <is>
          <t>Revolver availability limit (lower of base and line)</t>
        </is>
      </c>
      <c r="C23" s="13">
        <f>MIN(C22,Inputs!$C$13)</f>
        <v/>
      </c>
    </row>
    <row r="24">
      <c r="B24" s="2" t="inlineStr">
        <is>
          <t>Available at close</t>
        </is>
      </c>
      <c r="C24" s="13">
        <f>C23-Inputs!$C$12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3" customWidth="1" min="3" max="3"/>
    <col width="13" customWidth="1" min="4" max="4"/>
    <col width="14" customWidth="1" min="5" max="5"/>
    <col width="13" customWidth="1" min="6" max="6"/>
    <col width="12" customWidth="1" min="7" max="7"/>
    <col width="13" customWidth="1" min="8" max="8"/>
    <col width="12" customWidth="1" min="9" max="9"/>
    <col width="12" customWidth="1" min="10" max="10"/>
    <col width="10" customWidth="1" min="11" max="11"/>
  </cols>
  <sheetData>
    <row r="1" ht="10" customHeight="1"/>
    <row r="2">
      <c r="B2" s="1" t="inlineStr">
        <is>
          <t>Covenants: quarterly leverage test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4">
      <c r="B4" s="12" t="inlineStr">
        <is>
          <t>Quarter</t>
        </is>
      </c>
      <c r="C4" s="12" t="inlineStr">
        <is>
          <t>Term loan</t>
        </is>
      </c>
      <c r="D4" s="12" t="inlineStr">
        <is>
          <t>Revolver</t>
        </is>
      </c>
      <c r="E4" s="12" t="inlineStr">
        <is>
          <t>Senior funded debt</t>
        </is>
      </c>
      <c r="F4" s="12" t="inlineStr">
        <is>
          <t>TTM EBITDA</t>
        </is>
      </c>
      <c r="G4" s="12" t="inlineStr">
        <is>
          <t>Leverage</t>
        </is>
      </c>
      <c r="H4" s="12" t="inlineStr">
        <is>
          <t>Covenant</t>
        </is>
      </c>
      <c r="I4" s="12" t="inlineStr">
        <is>
          <t>Cushion</t>
        </is>
      </c>
      <c r="J4" s="12" t="inlineStr">
        <is>
          <t>Status</t>
        </is>
      </c>
      <c r="K4" s="12" t="inlineStr">
        <is>
          <t>Estimate</t>
        </is>
      </c>
    </row>
    <row r="5">
      <c r="B5" s="2" t="inlineStr">
        <is>
          <t>Q2 2024</t>
        </is>
      </c>
      <c r="C5" s="20">
        <f>Inputs!$C$11</f>
        <v/>
      </c>
      <c r="D5" s="13">
        <f>Inputs!D83</f>
        <v/>
      </c>
      <c r="E5" s="20">
        <f>C5+D5</f>
        <v/>
      </c>
      <c r="F5" s="13">
        <f>Inputs!C83</f>
        <v/>
      </c>
      <c r="G5" s="17">
        <f>E5/F5</f>
        <v/>
      </c>
      <c r="H5" s="17">
        <f>Inputs!E83</f>
        <v/>
      </c>
      <c r="I5" s="18">
        <f>1-G5/H5</f>
        <v/>
      </c>
      <c r="J5" s="2">
        <f>IF(G5&gt;H5,"BREACH","met")</f>
        <v/>
      </c>
      <c r="K5" s="2" t="inlineStr"/>
    </row>
    <row r="6">
      <c r="B6" s="2" t="inlineStr">
        <is>
          <t>Q3 2024</t>
        </is>
      </c>
      <c r="C6" s="20">
        <f>C5-Inputs!$C$14</f>
        <v/>
      </c>
      <c r="D6" s="13">
        <f>Inputs!D84</f>
        <v/>
      </c>
      <c r="E6" s="20">
        <f>C6+D6</f>
        <v/>
      </c>
      <c r="F6" s="13">
        <f>Inputs!C84</f>
        <v/>
      </c>
      <c r="G6" s="17">
        <f>E6/F6</f>
        <v/>
      </c>
      <c r="H6" s="17">
        <f>Inputs!E84</f>
        <v/>
      </c>
      <c r="I6" s="18">
        <f>1-G6/H6</f>
        <v/>
      </c>
      <c r="J6" s="2">
        <f>IF(G6&gt;H6,"BREACH","met")</f>
        <v/>
      </c>
      <c r="K6" s="2" t="inlineStr"/>
    </row>
    <row r="7">
      <c r="B7" s="2" t="inlineStr">
        <is>
          <t>Q4 2024</t>
        </is>
      </c>
      <c r="C7" s="20">
        <f>C6-Inputs!$C$14</f>
        <v/>
      </c>
      <c r="D7" s="13">
        <f>Inputs!D85</f>
        <v/>
      </c>
      <c r="E7" s="20">
        <f>C7+D7</f>
        <v/>
      </c>
      <c r="F7" s="13">
        <f>Inputs!C85</f>
        <v/>
      </c>
      <c r="G7" s="17">
        <f>E7/F7</f>
        <v/>
      </c>
      <c r="H7" s="17">
        <f>Inputs!E85</f>
        <v/>
      </c>
      <c r="I7" s="18">
        <f>1-G7/H7</f>
        <v/>
      </c>
      <c r="J7" s="2">
        <f>IF(G7&gt;H7,"BREACH","met")</f>
        <v/>
      </c>
      <c r="K7" s="2" t="inlineStr"/>
    </row>
    <row r="8">
      <c r="B8" s="2" t="inlineStr">
        <is>
          <t>Q1 2025</t>
        </is>
      </c>
      <c r="C8" s="20">
        <f>C7-Inputs!$C$14</f>
        <v/>
      </c>
      <c r="D8" s="13">
        <f>Inputs!D86</f>
        <v/>
      </c>
      <c r="E8" s="20">
        <f>C8+D8</f>
        <v/>
      </c>
      <c r="F8" s="13">
        <f>Inputs!C86</f>
        <v/>
      </c>
      <c r="G8" s="17">
        <f>E8/F8</f>
        <v/>
      </c>
      <c r="H8" s="17">
        <f>Inputs!E86</f>
        <v/>
      </c>
      <c r="I8" s="18">
        <f>1-G8/H8</f>
        <v/>
      </c>
      <c r="J8" s="2">
        <f>IF(G8&gt;H8,"BREACH","met")</f>
        <v/>
      </c>
      <c r="K8" s="2" t="inlineStr"/>
    </row>
    <row r="9">
      <c r="B9" s="2" t="inlineStr">
        <is>
          <t>Q2 2025</t>
        </is>
      </c>
      <c r="C9" s="20">
        <f>C8-Inputs!$C$14</f>
        <v/>
      </c>
      <c r="D9" s="13">
        <f>Inputs!D87</f>
        <v/>
      </c>
      <c r="E9" s="20">
        <f>C9+D9</f>
        <v/>
      </c>
      <c r="F9" s="13">
        <f>Inputs!C87</f>
        <v/>
      </c>
      <c r="G9" s="17">
        <f>E9/F9</f>
        <v/>
      </c>
      <c r="H9" s="17">
        <f>Inputs!E87</f>
        <v/>
      </c>
      <c r="I9" s="18">
        <f>1-G9/H9</f>
        <v/>
      </c>
      <c r="J9" s="2">
        <f>IF(G9&gt;H9,"BREACH","met")</f>
        <v/>
      </c>
      <c r="K9" s="2" t="inlineStr"/>
    </row>
    <row r="10">
      <c r="B10" s="2" t="inlineStr">
        <is>
          <t>Q3 2025</t>
        </is>
      </c>
      <c r="C10" s="20">
        <f>C9-Inputs!$C$14</f>
        <v/>
      </c>
      <c r="D10" s="13">
        <f>Inputs!D88</f>
        <v/>
      </c>
      <c r="E10" s="20">
        <f>C10+D10</f>
        <v/>
      </c>
      <c r="F10" s="13">
        <f>Inputs!C88</f>
        <v/>
      </c>
      <c r="G10" s="17">
        <f>E10/F10</f>
        <v/>
      </c>
      <c r="H10" s="17">
        <f>Inputs!E88</f>
        <v/>
      </c>
      <c r="I10" s="18">
        <f>1-G10/H10</f>
        <v/>
      </c>
      <c r="J10" s="2">
        <f>IF(G10&gt;H10,"BREACH","met")</f>
        <v/>
      </c>
      <c r="K10" s="2" t="inlineStr"/>
    </row>
    <row r="11">
      <c r="B11" s="2" t="inlineStr">
        <is>
          <t>Q4 2025</t>
        </is>
      </c>
      <c r="C11" s="20">
        <f>C10-Inputs!$C$14</f>
        <v/>
      </c>
      <c r="D11" s="13">
        <f>Inputs!D89</f>
        <v/>
      </c>
      <c r="E11" s="20">
        <f>C11+D11</f>
        <v/>
      </c>
      <c r="F11" s="13">
        <f>Inputs!C89</f>
        <v/>
      </c>
      <c r="G11" s="17">
        <f>E11/F11</f>
        <v/>
      </c>
      <c r="H11" s="17">
        <f>Inputs!E89</f>
        <v/>
      </c>
      <c r="I11" s="18">
        <f>1-G11/H11</f>
        <v/>
      </c>
      <c r="J11" s="2">
        <f>IF(G11&gt;H11,"BREACH","met")</f>
        <v/>
      </c>
      <c r="K11" s="2" t="inlineStr"/>
    </row>
    <row r="12">
      <c r="B12" s="2" t="inlineStr">
        <is>
          <t>Q1 2026</t>
        </is>
      </c>
      <c r="C12" s="20">
        <f>C11-Inputs!$C$14</f>
        <v/>
      </c>
      <c r="D12" s="13">
        <f>Inputs!D90</f>
        <v/>
      </c>
      <c r="E12" s="20">
        <f>C12+D12</f>
        <v/>
      </c>
      <c r="F12" s="13">
        <f>Inputs!C90</f>
        <v/>
      </c>
      <c r="G12" s="17">
        <f>E12/F12</f>
        <v/>
      </c>
      <c r="H12" s="17">
        <f>Inputs!E90</f>
        <v/>
      </c>
      <c r="I12" s="18">
        <f>1-G12/H12</f>
        <v/>
      </c>
      <c r="J12" s="2">
        <f>IF(G12&gt;H12,"BREACH","met")</f>
        <v/>
      </c>
      <c r="K12" s="2" t="inlineStr"/>
    </row>
    <row r="13">
      <c r="B13" s="2" t="inlineStr">
        <is>
          <t>Q2 2026</t>
        </is>
      </c>
      <c r="C13" s="20">
        <f>C12-Inputs!$C$14-Inputs!$C$39</f>
        <v/>
      </c>
      <c r="D13" s="13">
        <f>Inputs!D91</f>
        <v/>
      </c>
      <c r="E13" s="20">
        <f>C13+D13</f>
        <v/>
      </c>
      <c r="F13" s="13">
        <f>Inputs!C91</f>
        <v/>
      </c>
      <c r="G13" s="17">
        <f>E13/F13</f>
        <v/>
      </c>
      <c r="H13" s="17">
        <f>Inputs!E91</f>
        <v/>
      </c>
      <c r="I13" s="18">
        <f>1-G13/H13</f>
        <v/>
      </c>
      <c r="J13" s="2">
        <f>IF(G13&gt;H13,"BREACH","met")</f>
        <v/>
      </c>
      <c r="K13" s="2" t="inlineStr"/>
    </row>
    <row r="14">
      <c r="B14" s="2" t="inlineStr">
        <is>
          <t>Q3 2026</t>
        </is>
      </c>
      <c r="C14" s="20">
        <f>C13-Inputs!$C$14</f>
        <v/>
      </c>
      <c r="D14" s="13">
        <f>Inputs!D92</f>
        <v/>
      </c>
      <c r="E14" s="20">
        <f>C14+D14</f>
        <v/>
      </c>
      <c r="F14" s="13">
        <f>Inputs!C92</f>
        <v/>
      </c>
      <c r="G14" s="17">
        <f>E14/F14</f>
        <v/>
      </c>
      <c r="H14" s="17">
        <f>Inputs!E92</f>
        <v/>
      </c>
      <c r="I14" s="18">
        <f>1-G14/H14</f>
        <v/>
      </c>
      <c r="J14" s="2">
        <f>IF(G14&gt;H14,"BREACH","met")</f>
        <v/>
      </c>
      <c r="K14" s="2" t="inlineStr">
        <is>
          <t>yes</t>
        </is>
      </c>
    </row>
    <row r="15">
      <c r="B15" s="2" t="inlineStr">
        <is>
          <t>Q4 2026</t>
        </is>
      </c>
      <c r="C15" s="20">
        <f>C14-Inputs!$C$14</f>
        <v/>
      </c>
      <c r="D15" s="13">
        <f>Inputs!D93</f>
        <v/>
      </c>
      <c r="E15" s="20">
        <f>C15+D15</f>
        <v/>
      </c>
      <c r="F15" s="13">
        <f>Inputs!C93</f>
        <v/>
      </c>
      <c r="G15" s="17">
        <f>E15/F15</f>
        <v/>
      </c>
      <c r="H15" s="17">
        <f>Inputs!E93</f>
        <v/>
      </c>
      <c r="I15" s="18">
        <f>1-G15/H15</f>
        <v/>
      </c>
      <c r="J15" s="2">
        <f>IF(G15&gt;H15,"BREACH","met")</f>
        <v/>
      </c>
      <c r="K15" s="2" t="inlineStr">
        <is>
          <t>yes</t>
        </is>
      </c>
    </row>
    <row r="17">
      <c r="B17" s="2" t="inlineStr">
        <is>
          <t>The Q2 2026 term loan balance reflects the prepayment from the owners' subordinated note. Q3 and Q4 2026 are estimates.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0" customHeight="1"/>
    <row r="2">
      <c r="B2" s="1" t="inlineStr">
        <is>
          <t>Cash flow and fixed charge coverage</t>
        </is>
      </c>
      <c r="C2" s="3" t="n"/>
      <c r="D2" s="3" t="n"/>
      <c r="E2" s="3" t="n"/>
      <c r="F2" s="3" t="n"/>
      <c r="G2" s="3" t="n"/>
      <c r="H2" s="3" t="n"/>
    </row>
    <row r="4">
      <c r="B4" s="12" t="inlineStr">
        <is>
          <t>$ million</t>
        </is>
      </c>
      <c r="C4" s="12" t="inlineStr">
        <is>
          <t>FY2023</t>
        </is>
      </c>
      <c r="D4" s="12" t="inlineStr">
        <is>
          <t>FY2024</t>
        </is>
      </c>
      <c r="E4" s="12" t="inlineStr">
        <is>
          <t>FY2025</t>
        </is>
      </c>
      <c r="F4" s="12" t="inlineStr">
        <is>
          <t>FY2026</t>
        </is>
      </c>
      <c r="G4" s="12" t="inlineStr">
        <is>
          <t>FY2027</t>
        </is>
      </c>
      <c r="H4" s="12" t="inlineStr">
        <is>
          <t>FY2028</t>
        </is>
      </c>
    </row>
    <row r="5">
      <c r="B5" s="2" t="inlineStr">
        <is>
          <t>Revenue</t>
        </is>
      </c>
      <c r="C5" s="13">
        <f>Inputs!C70</f>
        <v/>
      </c>
      <c r="D5" s="13">
        <f>Inputs!D70</f>
        <v/>
      </c>
      <c r="E5" s="13">
        <f>Inputs!E70</f>
        <v/>
      </c>
      <c r="F5" s="13">
        <f>Inputs!F70</f>
        <v/>
      </c>
      <c r="G5" s="13">
        <f>Inputs!G70</f>
        <v/>
      </c>
      <c r="H5" s="13">
        <f>Inputs!H70</f>
        <v/>
      </c>
    </row>
    <row r="6">
      <c r="B6" s="2" t="inlineStr">
        <is>
          <t>EBITDA</t>
        </is>
      </c>
      <c r="C6" s="13">
        <f>Inputs!C71</f>
        <v/>
      </c>
      <c r="D6" s="13">
        <f>Inputs!D71</f>
        <v/>
      </c>
      <c r="E6" s="13">
        <f>Inputs!E71</f>
        <v/>
      </c>
      <c r="F6" s="13">
        <f>Inputs!F71</f>
        <v/>
      </c>
      <c r="G6" s="13">
        <f>Inputs!G71</f>
        <v/>
      </c>
      <c r="H6" s="13">
        <f>Inputs!H71</f>
        <v/>
      </c>
    </row>
    <row r="7">
      <c r="B7" s="2" t="inlineStr">
        <is>
          <t>EBITDA margin</t>
        </is>
      </c>
      <c r="C7" s="18">
        <f>C6/C5</f>
        <v/>
      </c>
      <c r="D7" s="18">
        <f>D6/D5</f>
        <v/>
      </c>
      <c r="E7" s="18">
        <f>E6/E5</f>
        <v/>
      </c>
      <c r="F7" s="18">
        <f>F6/F5</f>
        <v/>
      </c>
      <c r="G7" s="18">
        <f>G6/G5</f>
        <v/>
      </c>
      <c r="H7" s="18">
        <f>H6/H5</f>
        <v/>
      </c>
    </row>
    <row r="8">
      <c r="B8" s="2" t="inlineStr">
        <is>
          <t>Unfinanced capex</t>
        </is>
      </c>
      <c r="C8" s="13">
        <f>Inputs!C72</f>
        <v/>
      </c>
      <c r="D8" s="13">
        <f>Inputs!D72</f>
        <v/>
      </c>
      <c r="E8" s="13">
        <f>Inputs!E72</f>
        <v/>
      </c>
      <c r="F8" s="13">
        <f>Inputs!F72</f>
        <v/>
      </c>
      <c r="G8" s="13">
        <f>Inputs!G72</f>
        <v/>
      </c>
      <c r="H8" s="13">
        <f>Inputs!H72</f>
        <v/>
      </c>
    </row>
    <row r="9">
      <c r="B9" s="2" t="inlineStr">
        <is>
          <t>Cash taxes</t>
        </is>
      </c>
      <c r="C9" s="13">
        <f>Inputs!C73</f>
        <v/>
      </c>
      <c r="D9" s="13">
        <f>Inputs!D73</f>
        <v/>
      </c>
      <c r="E9" s="13">
        <f>Inputs!E73</f>
        <v/>
      </c>
      <c r="F9" s="13">
        <f>Inputs!F73</f>
        <v/>
      </c>
      <c r="G9" s="13">
        <f>Inputs!G73</f>
        <v/>
      </c>
      <c r="H9" s="13">
        <f>Inputs!H73</f>
        <v/>
      </c>
    </row>
    <row r="10">
      <c r="B10" s="2" t="inlineStr">
        <is>
          <t>Owner distributions</t>
        </is>
      </c>
      <c r="C10" s="13">
        <f>Inputs!C74</f>
        <v/>
      </c>
      <c r="D10" s="13">
        <f>Inputs!D74</f>
        <v/>
      </c>
      <c r="E10" s="13">
        <f>Inputs!E74</f>
        <v/>
      </c>
      <c r="F10" s="13">
        <f>Inputs!F74</f>
        <v/>
      </c>
      <c r="G10" s="13">
        <f>Inputs!G74</f>
        <v/>
      </c>
      <c r="H10" s="13">
        <f>Inputs!H74</f>
        <v/>
      </c>
    </row>
    <row r="11">
      <c r="B11" s="2" t="inlineStr">
        <is>
          <t>Cash available for fixed charges</t>
        </is>
      </c>
      <c r="C11" s="13">
        <f>C6-C8-C9-C10</f>
        <v/>
      </c>
      <c r="D11" s="13">
        <f>D6-D8-D9-D10</f>
        <v/>
      </c>
      <c r="E11" s="13">
        <f>E6-E8-E9-E10</f>
        <v/>
      </c>
      <c r="F11" s="13">
        <f>F6-F8-F9-F10</f>
        <v/>
      </c>
      <c r="G11" s="13">
        <f>G6-G8-G9-G10</f>
        <v/>
      </c>
      <c r="H11" s="13">
        <f>H6-H8-H9-H10</f>
        <v/>
      </c>
    </row>
    <row r="12">
      <c r="B12" s="2" t="inlineStr">
        <is>
          <t>Average senior debt (quarter ends)</t>
        </is>
      </c>
      <c r="D12" s="20">
        <f>AVERAGE(Covenants!E5:E7)</f>
        <v/>
      </c>
      <c r="E12" s="20">
        <f>AVERAGE(Covenants!E8:E11)</f>
        <v/>
      </c>
      <c r="F12" s="20">
        <f>AVERAGE(Covenants!E12:E15)</f>
        <v/>
      </c>
    </row>
    <row r="13">
      <c r="B13" s="2" t="inlineStr">
        <is>
          <t>Margin applied</t>
        </is>
      </c>
      <c r="D13" s="19">
        <f>Deal!$C$18</f>
        <v/>
      </c>
      <c r="E13" s="19">
        <f>IF(AVERAGE(Covenants!G8:G11)&lt;Inputs!$C$18,Inputs!$C$19,IF(AVERAGE(Covenants!G8:G11)&lt;Inputs!$C$20,Inputs!$C$21,Inputs!$C$22))</f>
        <v/>
      </c>
      <c r="F13" s="19">
        <f>Inputs!$C$36</f>
        <v/>
      </c>
    </row>
    <row r="14">
      <c r="B14" s="2" t="inlineStr">
        <is>
          <t>Interest</t>
        </is>
      </c>
      <c r="D14" s="20">
        <f>D12*(Inputs!$C$17+D13)</f>
        <v/>
      </c>
      <c r="E14" s="20">
        <f>E12*(Inputs!$C$17+E13)</f>
        <v/>
      </c>
      <c r="F14" s="20">
        <f>F12*(Inputs!$C$17+F13)</f>
        <v/>
      </c>
    </row>
    <row r="15">
      <c r="B15" s="2" t="inlineStr">
        <is>
          <t>Scheduled principal</t>
        </is>
      </c>
      <c r="D15" s="20">
        <f>4*Inputs!$C$14</f>
        <v/>
      </c>
      <c r="E15" s="20">
        <f>4*Inputs!$C$14</f>
        <v/>
      </c>
      <c r="F15" s="20">
        <f>4*Inputs!$C$14</f>
        <v/>
      </c>
    </row>
    <row r="16">
      <c r="B16" s="2" t="inlineStr">
        <is>
          <t>Fixed charge coverage</t>
        </is>
      </c>
      <c r="D16" s="17">
        <f>D11/(D14+D15)</f>
        <v/>
      </c>
      <c r="E16" s="17">
        <f>E11/(E14+E15)</f>
        <v/>
      </c>
      <c r="F16" s="17">
        <f>F11/(F14+F15)</f>
        <v/>
      </c>
    </row>
    <row r="17">
      <c r="B17" s="2" t="inlineStr">
        <is>
          <t>Covenant minimum</t>
        </is>
      </c>
      <c r="D17" s="17">
        <f>Inputs!$C$28</f>
        <v/>
      </c>
      <c r="E17" s="17">
        <f>Inputs!$C$28</f>
        <v/>
      </c>
      <c r="F17" s="17">
        <f>Inputs!$C$37</f>
        <v/>
      </c>
    </row>
    <row r="18">
      <c r="B18" s="2" t="inlineStr">
        <is>
          <t>Status</t>
        </is>
      </c>
      <c r="D18" s="2">
        <f>IF(D16&lt;D17,"BREACH","met")</f>
        <v/>
      </c>
      <c r="E18" s="2">
        <f>IF(E16&lt;E17,"BREACH","met")</f>
        <v/>
      </c>
      <c r="F18" s="2">
        <f>IF(F16&lt;F17,"BREACH","met")</f>
        <v/>
      </c>
    </row>
    <row r="20">
      <c r="B20" s="4" t="inlineStr">
        <is>
          <t>Bank cases at origination (EBITDA and leverage)</t>
        </is>
      </c>
    </row>
    <row r="21">
      <c r="B21" s="12" t="inlineStr">
        <is>
          <t>Case</t>
        </is>
      </c>
      <c r="C21" s="12" t="inlineStr">
        <is>
          <t>FY2024</t>
        </is>
      </c>
      <c r="D21" s="12" t="inlineStr">
        <is>
          <t>FY2025</t>
        </is>
      </c>
      <c r="E21" s="12" t="inlineStr">
        <is>
          <t>FY2026</t>
        </is>
      </c>
      <c r="F21" s="12" t="inlineStr">
        <is>
          <t>FY2027</t>
        </is>
      </c>
    </row>
    <row r="22">
      <c r="B22" s="2" t="inlineStr">
        <is>
          <t>Management case EBITDA</t>
        </is>
      </c>
      <c r="C22" s="13">
        <f>Inputs!C78</f>
        <v/>
      </c>
      <c r="D22" s="13">
        <f>Inputs!D78</f>
        <v/>
      </c>
      <c r="E22" s="13">
        <f>Inputs!E78</f>
        <v/>
      </c>
      <c r="F22" s="13">
        <f>Inputs!F78</f>
        <v/>
      </c>
    </row>
    <row r="23">
      <c r="B23" s="2" t="inlineStr">
        <is>
          <t>Downside case EBITDA</t>
        </is>
      </c>
      <c r="C23" s="13">
        <f>Inputs!C79</f>
        <v/>
      </c>
      <c r="D23" s="13">
        <f>Inputs!D79</f>
        <v/>
      </c>
      <c r="E23" s="13">
        <f>Inputs!E79</f>
        <v/>
      </c>
      <c r="F23" s="13">
        <f>Inputs!F79</f>
        <v/>
      </c>
    </row>
    <row r="24">
      <c r="B24" s="2" t="inlineStr">
        <is>
          <t>Downside case senior debt</t>
        </is>
      </c>
      <c r="C24" s="20">
        <f>Inputs!$C$11-4*Inputs!$C$14*0-2*Inputs!$C$14+Inputs!$C$12+2</f>
        <v/>
      </c>
      <c r="D24" s="20">
        <f>Inputs!$C$11-4*Inputs!$C$14*1-2*Inputs!$C$14+Inputs!$C$12+2</f>
        <v/>
      </c>
      <c r="E24" s="20">
        <f>Inputs!$C$11-4*Inputs!$C$14*2-2*Inputs!$C$14+Inputs!$C$12+2</f>
        <v/>
      </c>
      <c r="F24" s="20">
        <f>Inputs!$C$11-4*Inputs!$C$14*3-2*Inputs!$C$14+Inputs!$C$12+2</f>
        <v/>
      </c>
    </row>
    <row r="25">
      <c r="B25" s="2" t="inlineStr">
        <is>
          <t>Downside case leverage</t>
        </is>
      </c>
      <c r="C25" s="17">
        <f>C24/C23</f>
        <v/>
      </c>
      <c r="D25" s="17">
        <f>D24/D23</f>
        <v/>
      </c>
      <c r="E25" s="17">
        <f>E24/E23</f>
        <v/>
      </c>
      <c r="F25" s="17">
        <f>F24/F23</f>
        <v/>
      </c>
    </row>
    <row r="27">
      <c r="B27" s="2" t="inlineStr">
        <is>
          <t>Downside debt: term loan after the year's amortization (mid-year close) plus the revolver at close plus $2.0 million. FY2024 FCCR is computed as if the facilities had been in place all year; FY2026 at the amended margin for the whole year.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E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2" customWidth="1" min="3" max="3"/>
    <col width="14" customWidth="1" min="4" max="4"/>
    <col width="16" customWidth="1" min="5" max="5"/>
  </cols>
  <sheetData>
    <row r="1" ht="10" customHeight="1"/>
    <row r="2">
      <c r="B2" s="1" t="inlineStr">
        <is>
          <t>Collateral coverage at 31 December 2025</t>
        </is>
      </c>
      <c r="C2" s="3" t="n"/>
      <c r="D2" s="3" t="n"/>
      <c r="E2" s="3" t="n"/>
    </row>
    <row r="4">
      <c r="B4" s="12" t="inlineStr">
        <is>
          <t>Asset</t>
        </is>
      </c>
      <c r="C4" s="12" t="inlineStr">
        <is>
          <t>Value</t>
        </is>
      </c>
      <c r="D4" s="12" t="inlineStr">
        <is>
          <t>Liquidation rate</t>
        </is>
      </c>
      <c r="E4" s="12" t="inlineStr">
        <is>
          <t>Liquidation value</t>
        </is>
      </c>
    </row>
    <row r="5">
      <c r="B5" s="2" t="inlineStr">
        <is>
          <t>Accounts receivable</t>
        </is>
      </c>
      <c r="C5" s="13">
        <f>Inputs!$C$45</f>
        <v/>
      </c>
      <c r="D5" s="18">
        <f>Inputs!$C$46</f>
        <v/>
      </c>
      <c r="E5" s="20">
        <f>C5*D5</f>
        <v/>
      </c>
    </row>
    <row r="6">
      <c r="B6" s="2" t="inlineStr">
        <is>
          <t>Inventory</t>
        </is>
      </c>
      <c r="C6" s="13">
        <f>Inputs!$C$47</f>
        <v/>
      </c>
      <c r="D6" s="18">
        <f>Inputs!$C$48</f>
        <v/>
      </c>
      <c r="E6" s="20">
        <f>C6*D6</f>
        <v/>
      </c>
    </row>
    <row r="7">
      <c r="B7" s="2" t="inlineStr">
        <is>
          <t>Machinery and equipment (net book value)</t>
        </is>
      </c>
      <c r="C7" s="13">
        <f>Inputs!$C$49</f>
        <v/>
      </c>
      <c r="D7" s="18">
        <f>Inputs!$C$50</f>
        <v/>
      </c>
      <c r="E7" s="20">
        <f>C7*D7</f>
        <v/>
      </c>
    </row>
    <row r="8">
      <c r="B8" s="2" t="inlineStr">
        <is>
          <t>Plant real estate (appraised)</t>
        </is>
      </c>
      <c r="C8" s="13">
        <f>Inputs!$C$51</f>
        <v/>
      </c>
      <c r="D8" s="18">
        <f>Inputs!$C$52</f>
        <v/>
      </c>
      <c r="E8" s="20">
        <f>C8*D8</f>
        <v/>
      </c>
    </row>
    <row r="9">
      <c r="B9" s="14" t="inlineStr">
        <is>
          <t>Total liquidation value</t>
        </is>
      </c>
      <c r="E9" s="21">
        <f>SUM(E5:E8)</f>
        <v/>
      </c>
    </row>
    <row r="10">
      <c r="B10" s="2" t="inlineStr">
        <is>
          <t>Senior exposure at Q4 2025</t>
        </is>
      </c>
      <c r="E10" s="20">
        <f>Covenants!E11</f>
        <v/>
      </c>
    </row>
    <row r="11">
      <c r="B11" s="2" t="inlineStr">
        <is>
          <t>Coverage</t>
        </is>
      </c>
      <c r="E11" s="18">
        <f>E9/E10</f>
        <v/>
      </c>
    </row>
    <row r="12">
      <c r="B12" s="2" t="inlineStr">
        <is>
          <t>Going-concern value (multiple x FY2025 EBITDA)</t>
        </is>
      </c>
      <c r="E12" s="13">
        <f>Inputs!$C$53*Inputs!E71</f>
        <v/>
      </c>
    </row>
    <row r="13">
      <c r="B13" s="2" t="inlineStr">
        <is>
          <t>Going-concern value / senior exposure</t>
        </is>
      </c>
      <c r="E13" s="16">
        <f>E12/E10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D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6" customWidth="1" min="2" max="2"/>
    <col width="16" customWidth="1" min="3" max="3"/>
    <col width="16" customWidth="1" min="4" max="4"/>
  </cols>
  <sheetData>
    <row r="1" ht="10" customHeight="1"/>
    <row r="2">
      <c r="B2" s="1" t="inlineStr">
        <is>
          <t>Relationship profitability (pre-tax)</t>
        </is>
      </c>
      <c r="C2" s="3" t="n"/>
      <c r="D2" s="3" t="n"/>
    </row>
    <row r="4">
      <c r="B4" s="12" t="inlineStr">
        <is>
          <t>$ million</t>
        </is>
      </c>
      <c r="C4" s="12" t="inlineStr">
        <is>
          <t>Year 1 (July 2024 to June 2025)</t>
        </is>
      </c>
      <c r="D4" s="12" t="inlineStr">
        <is>
          <t>2026 (estimate)</t>
        </is>
      </c>
    </row>
    <row r="5">
      <c r="B5" s="2" t="inlineStr">
        <is>
          <t>Average term loan</t>
        </is>
      </c>
      <c r="C5" s="20">
        <f>AVERAGE(Covenants!C5:C9)</f>
        <v/>
      </c>
    </row>
    <row r="6">
      <c r="B6" s="2" t="inlineStr">
        <is>
          <t>Average revolver</t>
        </is>
      </c>
      <c r="C6" s="20">
        <f>AVERAGE(Covenants!D5:D9)</f>
        <v/>
      </c>
      <c r="D6" s="20">
        <f>AVERAGE(Covenants!D12:D15)</f>
        <v/>
      </c>
    </row>
    <row r="7">
      <c r="B7" s="2" t="inlineStr">
        <is>
          <t>Average drawn</t>
        </is>
      </c>
      <c r="C7" s="20">
        <f>C5+C6</f>
        <v/>
      </c>
      <c r="D7" s="20">
        <f>AVERAGE(Covenants!E12:E15)</f>
        <v/>
      </c>
    </row>
    <row r="8">
      <c r="B8" s="2" t="inlineStr">
        <is>
          <t>Unused revolver</t>
        </is>
      </c>
      <c r="C8" s="20">
        <f>Inputs!$C$13-C6</f>
        <v/>
      </c>
      <c r="D8" s="20">
        <f>Inputs!$C$38-D6</f>
        <v/>
      </c>
    </row>
    <row r="9">
      <c r="B9" s="2" t="inlineStr">
        <is>
          <t>Margin</t>
        </is>
      </c>
      <c r="C9" s="19">
        <f>Deal!$C$18</f>
        <v/>
      </c>
      <c r="D9" s="19">
        <f>Inputs!$C$36</f>
        <v/>
      </c>
    </row>
    <row r="10">
      <c r="B10" s="2" t="inlineStr">
        <is>
          <t>Loan net interest income</t>
        </is>
      </c>
      <c r="C10" s="20">
        <f>C7*(C9-Inputs!$C$56)</f>
        <v/>
      </c>
      <c r="D10" s="20">
        <f>D7*(D9-Inputs!$C$56)</f>
        <v/>
      </c>
    </row>
    <row r="11">
      <c r="B11" s="2" t="inlineStr">
        <is>
          <t>Deposit value</t>
        </is>
      </c>
      <c r="C11" s="20">
        <f>Inputs!$C$57*Inputs!$C$59</f>
        <v/>
      </c>
      <c r="D11" s="20">
        <f>Inputs!$C$58*Inputs!$C$59</f>
        <v/>
      </c>
    </row>
    <row r="12">
      <c r="B12" s="2" t="inlineStr">
        <is>
          <t>Upfront fee, spread over five years</t>
        </is>
      </c>
      <c r="C12" s="20">
        <f>Deal!$C$21/5</f>
        <v/>
      </c>
      <c r="D12" s="20" t="n">
        <v>0</v>
      </c>
    </row>
    <row r="13">
      <c r="B13" s="2" t="inlineStr">
        <is>
          <t>Unused fee</t>
        </is>
      </c>
      <c r="C13" s="20">
        <f>C8*Inputs!$C$24</f>
        <v/>
      </c>
      <c r="D13" s="20">
        <f>D8*Inputs!$C$24</f>
        <v/>
      </c>
    </row>
    <row r="14">
      <c r="B14" s="2" t="inlineStr">
        <is>
          <t>Treasury management fees</t>
        </is>
      </c>
      <c r="C14" s="20">
        <f>Inputs!$C$60</f>
        <v/>
      </c>
      <c r="D14" s="20">
        <f>Inputs!$C$60</f>
        <v/>
      </c>
    </row>
    <row r="15">
      <c r="B15" s="2" t="inlineStr">
        <is>
          <t>Swap fee, spread over five years</t>
        </is>
      </c>
      <c r="C15" s="20">
        <f>Inputs!$C$61/5</f>
        <v/>
      </c>
      <c r="D15" s="20" t="n">
        <v>0</v>
      </c>
    </row>
    <row r="16">
      <c r="B16" s="2" t="inlineStr">
        <is>
          <t>Amendment fee</t>
        </is>
      </c>
      <c r="C16" s="20" t="n">
        <v>0</v>
      </c>
      <c r="D16" s="20">
        <f>Deal!$C$20*Inputs!$C$35</f>
        <v/>
      </c>
    </row>
    <row r="17">
      <c r="B17" s="2" t="inlineStr">
        <is>
          <t>Total revenue</t>
        </is>
      </c>
      <c r="C17" s="20">
        <f>SUM(C10:C16)</f>
        <v/>
      </c>
      <c r="D17" s="20">
        <f>SUM(D10:D16)</f>
        <v/>
      </c>
    </row>
    <row r="18">
      <c r="B18" s="2" t="inlineStr">
        <is>
          <t>Servicing and workout costs</t>
        </is>
      </c>
      <c r="C18" s="20">
        <f>Inputs!$C$62</f>
        <v/>
      </c>
      <c r="D18" s="20">
        <f>Inputs!$C$62+Inputs!$C$63</f>
        <v/>
      </c>
    </row>
    <row r="19">
      <c r="B19" s="2" t="inlineStr">
        <is>
          <t>Expected loss (PD x LGD x drawn)</t>
        </is>
      </c>
      <c r="C19" s="20">
        <f>Inputs!$C$42*Inputs!$C$44*C7</f>
        <v/>
      </c>
      <c r="D19" s="20">
        <f>Inputs!$C$43*Inputs!$C$44*D7</f>
        <v/>
      </c>
    </row>
    <row r="20">
      <c r="B20" s="2" t="inlineStr">
        <is>
          <t>Pre-tax profit</t>
        </is>
      </c>
      <c r="C20" s="20">
        <f>C17-C18-C19</f>
        <v/>
      </c>
      <c r="D20" s="20">
        <f>D17-D18-D19</f>
        <v/>
      </c>
    </row>
    <row r="21">
      <c r="B21" s="2" t="inlineStr">
        <is>
          <t>Allocated capital (2026: doubled on drawn for a substandard credit)</t>
        </is>
      </c>
      <c r="C21" s="20">
        <f>Inputs!$C$64*C7+Inputs!$C$65*C8</f>
        <v/>
      </c>
      <c r="D21" s="20">
        <f>2*Inputs!$C$64*D7+Inputs!$C$65*D8</f>
        <v/>
      </c>
    </row>
    <row r="22">
      <c r="B22" s="2" t="inlineStr">
        <is>
          <t>Pre-tax return on allocated capital</t>
        </is>
      </c>
      <c r="C22" s="18">
        <f>C20/C21</f>
        <v/>
      </c>
      <c r="D22" s="18">
        <f>D20/D21</f>
        <v/>
      </c>
    </row>
    <row r="23">
      <c r="B23" s="2" t="inlineStr">
        <is>
          <t>Hurdle</t>
        </is>
      </c>
      <c r="C23" s="18">
        <f>Inputs!$C$66</f>
        <v/>
      </c>
      <c r="D23" s="18">
        <f>Inputs!$C$66</f>
        <v/>
      </c>
    </row>
    <row r="24">
      <c r="B24" s="2" t="inlineStr">
        <is>
          <t>Loan alone (no deposits, no treasury management, no swap)</t>
        </is>
      </c>
      <c r="C24" s="18">
        <f>(C10+C12+C13-C18-C19)/C21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E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14" customWidth="1" min="4" max="4"/>
    <col width="10" customWidth="1" min="5" max="5"/>
  </cols>
  <sheetData>
    <row r="1" ht="10" customHeight="1"/>
    <row r="2">
      <c r="B2" s="1" t="inlineStr">
        <is>
          <t>Checks: the book's figures against the workbook</t>
        </is>
      </c>
      <c r="C2" s="3" t="n"/>
      <c r="D2" s="3" t="n"/>
      <c r="E2" s="3" t="n"/>
    </row>
    <row r="4">
      <c r="B4" s="12" t="inlineStr">
        <is>
          <t>Figure printed in the book</t>
        </is>
      </c>
      <c r="C4" s="12" t="inlineStr">
        <is>
          <t>Book</t>
        </is>
      </c>
      <c r="D4" s="12" t="inlineStr">
        <is>
          <t>Workbook</t>
        </is>
      </c>
      <c r="E4" s="12" t="inlineStr">
        <is>
          <t>Check</t>
        </is>
      </c>
    </row>
    <row r="5">
      <c r="B5" s="2" t="inlineStr">
        <is>
          <t>Total uses ($m)</t>
        </is>
      </c>
      <c r="C5" s="22" t="n">
        <v>41</v>
      </c>
      <c r="D5" s="22">
        <f>Deal!$C$7</f>
        <v/>
      </c>
      <c r="E5" s="2">
        <f>IF(ABS(D5-C5)&lt;=0.05,"OK","CHECK")</f>
        <v/>
      </c>
    </row>
    <row r="6">
      <c r="B6" s="2" t="inlineStr">
        <is>
          <t>Sources minus uses</t>
        </is>
      </c>
      <c r="C6" s="22" t="n">
        <v>0</v>
      </c>
      <c r="D6" s="22">
        <f>Deal!$C$11</f>
        <v/>
      </c>
      <c r="E6" s="2">
        <f>IF(ABS(D6-C6)&lt;=0.001,"OK","CHECK")</f>
        <v/>
      </c>
    </row>
    <row r="7">
      <c r="B7" s="2" t="inlineStr">
        <is>
          <t>Pro forma EBITDA ($m)</t>
        </is>
      </c>
      <c r="C7" s="22" t="n">
        <v>18.4</v>
      </c>
      <c r="D7" s="22">
        <f>Deal!$C$12</f>
        <v/>
      </c>
      <c r="E7" s="2">
        <f>IF(ABS(D7-C7)&lt;=0.05,"OK","CHECK")</f>
        <v/>
      </c>
    </row>
    <row r="8">
      <c r="B8" s="2" t="inlineStr">
        <is>
          <t>Leverage at close</t>
        </is>
      </c>
      <c r="C8" s="22" t="n">
        <v>2.23</v>
      </c>
      <c r="D8" s="22">
        <f>Deal!$C$15</f>
        <v/>
      </c>
      <c r="E8" s="2">
        <f>IF(ABS(D8-C8)&lt;=0.005,"OK","CHECK")</f>
        <v/>
      </c>
    </row>
    <row r="9">
      <c r="B9" s="2" t="inlineStr">
        <is>
          <t>Covenant cushion at close</t>
        </is>
      </c>
      <c r="C9" s="22" t="n">
        <v>0.26</v>
      </c>
      <c r="D9" s="22">
        <f>Deal!$C$16</f>
        <v/>
      </c>
      <c r="E9" s="2">
        <f>IF(ABS(D9-C9)&lt;=0.005,"OK","CHECK")</f>
        <v/>
      </c>
    </row>
    <row r="10">
      <c r="B10" s="2" t="inlineStr">
        <is>
          <t>EBITDA room before a breach ($m)</t>
        </is>
      </c>
      <c r="C10" s="22" t="n">
        <v>4.7</v>
      </c>
      <c r="D10" s="22">
        <f>Deal!$C$17</f>
        <v/>
      </c>
      <c r="E10" s="2">
        <f>IF(ABS(D10-C10)&lt;=0.05,"OK","CHECK")</f>
        <v/>
      </c>
    </row>
    <row r="11">
      <c r="B11" s="2" t="inlineStr">
        <is>
          <t>Margin at close</t>
        </is>
      </c>
      <c r="C11" s="22" t="n">
        <v>0.025</v>
      </c>
      <c r="D11" s="22">
        <f>Deal!$C$18</f>
        <v/>
      </c>
      <c r="E11" s="2">
        <f>IF(ABS(D11-C11)&lt;=1e-05,"OK","CHECK")</f>
        <v/>
      </c>
    </row>
    <row r="12">
      <c r="B12" s="2" t="inlineStr">
        <is>
          <t>All-in rate at close</t>
        </is>
      </c>
      <c r="C12" s="22" t="n">
        <v>0.065</v>
      </c>
      <c r="D12" s="22">
        <f>Deal!$C$19</f>
        <v/>
      </c>
      <c r="E12" s="2">
        <f>IF(ABS(D12-C12)&lt;=1e-05,"OK","CHECK")</f>
        <v/>
      </c>
    </row>
    <row r="13">
      <c r="B13" s="2" t="inlineStr">
        <is>
          <t>Borrowing base at close ($m)</t>
        </is>
      </c>
      <c r="C13" s="22" t="n">
        <v>19.25</v>
      </c>
      <c r="D13" s="22">
        <f>Deal!$C$22</f>
        <v/>
      </c>
      <c r="E13" s="2">
        <f>IF(ABS(D13-C13)&lt;=0.005,"OK","CHECK")</f>
        <v/>
      </c>
    </row>
    <row r="14">
      <c r="B14" s="2" t="inlineStr">
        <is>
          <t>Leverage Q4 2024</t>
        </is>
      </c>
      <c r="C14" s="22" t="n">
        <v>1.94</v>
      </c>
      <c r="D14" s="22">
        <f>Covenants!G7</f>
        <v/>
      </c>
      <c r="E14" s="2">
        <f>IF(ABS(D14-C14)&lt;=0.005,"OK","CHECK")</f>
        <v/>
      </c>
    </row>
    <row r="15">
      <c r="B15" s="2" t="inlineStr">
        <is>
          <t>Leverage Q3 2025</t>
        </is>
      </c>
      <c r="C15" s="22" t="n">
        <v>2.56</v>
      </c>
      <c r="D15" s="22">
        <f>Covenants!G10</f>
        <v/>
      </c>
      <c r="E15" s="2">
        <f>IF(ABS(D15-C15)&lt;=0.005,"OK","CHECK")</f>
        <v/>
      </c>
    </row>
    <row r="16">
      <c r="B16" s="2" t="inlineStr">
        <is>
          <t>Leverage Q4 2025 (breach)</t>
        </is>
      </c>
      <c r="C16" s="22" t="n">
        <v>3.17</v>
      </c>
      <c r="D16" s="22">
        <f>Covenants!G11</f>
        <v/>
      </c>
      <c r="E16" s="2">
        <f>IF(ABS(D16-C16)&lt;=0.005,"OK","CHECK")</f>
        <v/>
      </c>
    </row>
    <row r="17">
      <c r="B17" s="2" t="inlineStr">
        <is>
          <t>Leverage Q1 2026</t>
        </is>
      </c>
      <c r="C17" s="22" t="n">
        <v>3.18</v>
      </c>
      <c r="D17" s="22">
        <f>Covenants!G12</f>
        <v/>
      </c>
      <c r="E17" s="2">
        <f>IF(ABS(D17-C17)&lt;=0.005,"OK","CHECK")</f>
        <v/>
      </c>
    </row>
    <row r="18">
      <c r="B18" s="2" t="inlineStr">
        <is>
          <t>Leverage Q2 2026</t>
        </is>
      </c>
      <c r="C18" s="22" t="n">
        <v>2.84</v>
      </c>
      <c r="D18" s="22">
        <f>Covenants!G13</f>
        <v/>
      </c>
      <c r="E18" s="2">
        <f>IF(ABS(D18-C18)&lt;=0.005,"OK","CHECK")</f>
        <v/>
      </c>
    </row>
    <row r="19">
      <c r="B19" s="2" t="inlineStr">
        <is>
          <t>Leverage Q4 2026 (estimate)</t>
        </is>
      </c>
      <c r="C19" s="22" t="n">
        <v>2.26</v>
      </c>
      <c r="D19" s="22">
        <f>Covenants!G15</f>
        <v/>
      </c>
      <c r="E19" s="2">
        <f>IF(ABS(D19-C19)&lt;=0.005,"OK","CHECK")</f>
        <v/>
      </c>
    </row>
    <row r="20">
      <c r="B20" s="2" t="inlineStr">
        <is>
          <t>FCCR FY2024</t>
        </is>
      </c>
      <c r="C20" s="22" t="n">
        <v>2.09</v>
      </c>
      <c r="D20" s="22">
        <f>'Cash Flow'!D16</f>
        <v/>
      </c>
      <c r="E20" s="2">
        <f>IF(ABS(D20-C20)&lt;=0.005,"OK","CHECK")</f>
        <v/>
      </c>
    </row>
    <row r="21">
      <c r="B21" s="2" t="inlineStr">
        <is>
          <t>FCCR FY2025 (breach)</t>
        </is>
      </c>
      <c r="C21" s="22" t="n">
        <v>1.2</v>
      </c>
      <c r="D21" s="22">
        <f>'Cash Flow'!E16</f>
        <v/>
      </c>
      <c r="E21" s="2">
        <f>IF(ABS(D21-C21)&lt;=0.005,"OK","CHECK")</f>
        <v/>
      </c>
    </row>
    <row r="22">
      <c r="B22" s="2" t="inlineStr">
        <is>
          <t>FCCR FY2026 (estimate)</t>
        </is>
      </c>
      <c r="C22" s="22" t="n">
        <v>1.73</v>
      </c>
      <c r="D22" s="22">
        <f>'Cash Flow'!F16</f>
        <v/>
      </c>
      <c r="E22" s="2">
        <f>IF(ABS(D22-C22)&lt;=0.005,"OK","CHECK")</f>
        <v/>
      </c>
    </row>
    <row r="23">
      <c r="B23" s="2" t="inlineStr">
        <is>
          <t>Downside case leverage FY2025</t>
        </is>
      </c>
      <c r="C23" s="22" t="n">
        <v>2.59</v>
      </c>
      <c r="D23" s="22">
        <f>'Cash Flow'!D25</f>
        <v/>
      </c>
      <c r="E23" s="2">
        <f>IF(ABS(D23-C23)&lt;=0.005,"OK","CHECK")</f>
        <v/>
      </c>
    </row>
    <row r="24">
      <c r="B24" s="2" t="inlineStr">
        <is>
          <t>Collateral liquidation value ($m)</t>
        </is>
      </c>
      <c r="C24" s="22" t="n">
        <v>25.3</v>
      </c>
      <c r="D24" s="22">
        <f>Collateral!E9</f>
        <v/>
      </c>
      <c r="E24" s="2">
        <f>IF(ABS(D24-C24)&lt;=0.05,"OK","CHECK")</f>
        <v/>
      </c>
    </row>
    <row r="25">
      <c r="B25" s="2" t="inlineStr">
        <is>
          <t>Collateral coverage</t>
        </is>
      </c>
      <c r="C25" s="22" t="n">
        <v>0.64</v>
      </c>
      <c r="D25" s="22">
        <f>Collateral!E11</f>
        <v/>
      </c>
      <c r="E25" s="2">
        <f>IF(ABS(D25-C25)&lt;=0.005,"OK","CHECK")</f>
        <v/>
      </c>
    </row>
    <row r="26">
      <c r="B26" s="2" t="inlineStr">
        <is>
          <t>Going-concern value ($m)</t>
        </is>
      </c>
      <c r="C26" s="22" t="n">
        <v>74.40000000000001</v>
      </c>
      <c r="D26" s="22">
        <f>Collateral!E12</f>
        <v/>
      </c>
      <c r="E26" s="2">
        <f>IF(ABS(D26-C26)&lt;=0.05,"OK","CHECK")</f>
        <v/>
      </c>
    </row>
    <row r="27">
      <c r="B27" s="2" t="inlineStr">
        <is>
          <t>Return on capital, year 1</t>
        </is>
      </c>
      <c r="C27" s="22" t="n">
        <v>0.195</v>
      </c>
      <c r="D27" s="22">
        <f>Relationship!C22</f>
        <v/>
      </c>
      <c r="E27" s="2">
        <f>IF(ABS(D27-C27)&lt;=0.0005,"OK","CHECK")</f>
        <v/>
      </c>
    </row>
    <row r="28">
      <c r="B28" s="2" t="inlineStr">
        <is>
          <t>Return on capital, loan alone</t>
        </is>
      </c>
      <c r="C28" s="22" t="n">
        <v>0.123</v>
      </c>
      <c r="D28" s="22">
        <f>Relationship!C24</f>
        <v/>
      </c>
      <c r="E28" s="2">
        <f>IF(ABS(D28-C28)&lt;=0.0005,"OK","CHECK")</f>
        <v/>
      </c>
    </row>
    <row r="29">
      <c r="B29" s="2" t="inlineStr">
        <is>
          <t>Allocated capital, year 1 ($m)</t>
        </is>
      </c>
      <c r="C29" s="22" t="n">
        <v>4.34</v>
      </c>
      <c r="D29" s="22">
        <f>Relationship!C21</f>
        <v/>
      </c>
      <c r="E29" s="2">
        <f>IF(ABS(D29-C29)&lt;=0.005,"OK","CHECK")</f>
        <v/>
      </c>
    </row>
    <row r="30">
      <c r="B30" s="2" t="inlineStr">
        <is>
          <t>Pre-tax profit, 2026 ($m)</t>
        </is>
      </c>
      <c r="C30" s="22" t="n">
        <v>-1.1</v>
      </c>
      <c r="D30" s="22">
        <f>Relationship!D20</f>
        <v/>
      </c>
      <c r="E30" s="2">
        <f>IF(ABS(D30-C30)&lt;=0.005,"OK","CHECK")</f>
        <v/>
      </c>
    </row>
    <row r="32">
      <c r="B32" s="14" t="inlineStr">
        <is>
          <t>Result</t>
        </is>
      </c>
      <c r="D32" s="14">
        <f>IF(COUNTIF(E5:E30,"OK")=26,"ALL CHECKS OK","SOME CHECKS FAIL")</f>
        <v/>
      </c>
    </row>
    <row r="33">
      <c r="B33" s="2" t="inlineStr">
        <is>
          <t>The checks hold on the default inputs. Change an input and the Book column stays as printed, so the check flags what moved.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2026-10-15T19:36:38Z</dcterms:created>
  <dcterms:modified xmlns:dcterms="http://purl.org/dc/terms/" xmlns:xsi="http://www.w3.org/2001/XMLSchema-instance" xsi:type="dcterms:W3CDTF">2026-10-15T19:36:38Z</dcterms:modified>
</cp:coreProperties>
</file>